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HALL2\Dept\PW\ENGINEERING\DS_Fees\Fee_Calc_Sheets\2025-26\test\"/>
    </mc:Choice>
  </mc:AlternateContent>
  <xr:revisionPtr revIDLastSave="0" documentId="13_ncr:1_{9D608C98-99A4-43CF-B39B-3747BA32E369}" xr6:coauthVersionLast="36" xr6:coauthVersionMax="36" xr10:uidLastSave="{00000000-0000-0000-0000-000000000000}"/>
  <workbookProtection workbookAlgorithmName="SHA-512" workbookHashValue="5ei39rFrUuDL275oU7gCr53FSYV9HyiSa+COzmUlTSs5ndx3GRmYszjSBzXdMx4duU5Q+iFsHEyNPBsdwevDWA==" workbookSaltValue="6O7ZAcBoo4H7oQ0P/hBGPw==" workbookSpinCount="100000" lockStructure="1"/>
  <bookViews>
    <workbookView xWindow="0" yWindow="0" windowWidth="19785" windowHeight="8055" xr2:uid="{031C8237-EF85-4A97-BAA1-C59826BC4AA1}"/>
  </bookViews>
  <sheets>
    <sheet name="map fees" sheetId="1" r:id="rId1"/>
    <sheet name="table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D29" i="1"/>
  <c r="K33" i="2"/>
  <c r="D25" i="1" l="1"/>
  <c r="D23" i="1"/>
  <c r="D21" i="1"/>
  <c r="O42" i="2"/>
  <c r="G29" i="1" l="1"/>
  <c r="G17" i="2"/>
  <c r="B20" i="2" s="1"/>
  <c r="F17" i="2"/>
  <c r="E17" i="2"/>
  <c r="D17" i="2"/>
  <c r="B19" i="2" s="1"/>
  <c r="C17" i="2"/>
  <c r="B17" i="2"/>
  <c r="B21" i="2" l="1"/>
  <c r="B22" i="2" s="1"/>
  <c r="I23" i="2" s="1"/>
  <c r="I21" i="2" l="1"/>
  <c r="G23" i="1" s="1"/>
  <c r="G25" i="1"/>
  <c r="I25" i="2"/>
  <c r="G27" i="1" s="1"/>
  <c r="I19" i="2"/>
  <c r="G21" i="1" s="1"/>
  <c r="H30" i="1" l="1"/>
  <c r="G31" i="1" s="1"/>
  <c r="G33" i="1" s="1"/>
  <c r="G35" i="1" l="1"/>
  <c r="J33" i="1" s="1"/>
</calcChain>
</file>

<file path=xl/sharedStrings.xml><?xml version="1.0" encoding="utf-8"?>
<sst xmlns="http://schemas.openxmlformats.org/spreadsheetml/2006/main" count="57" uniqueCount="47">
  <si>
    <t>ITEM</t>
  </si>
  <si>
    <t>UNIT COST</t>
  </si>
  <si>
    <t>TOTAL COST</t>
  </si>
  <si>
    <t>Records Management</t>
  </si>
  <si>
    <t>Parcel Map Waiver Review</t>
  </si>
  <si>
    <t>More than 50 lots</t>
  </si>
  <si>
    <t>1 -  4  lots</t>
  </si>
  <si>
    <t>5 - 10 lots</t>
  </si>
  <si>
    <t>11 - 50 lots</t>
  </si>
  <si>
    <t xml:space="preserve">    FINAL PARCEL / TRACT MAP</t>
  </si>
  <si>
    <t>Range</t>
  </si>
  <si>
    <t>Base Fee</t>
  </si>
  <si>
    <t>Fee Per</t>
  </si>
  <si>
    <t>Over</t>
  </si>
  <si>
    <t>Applicable Data from Table</t>
  </si>
  <si>
    <t>Table 1 - FINAL MAP/TRACT MAP</t>
  </si>
  <si>
    <t>no of lots</t>
  </si>
  <si>
    <t>Range Based Fee</t>
  </si>
  <si>
    <t>Overage Fee</t>
  </si>
  <si>
    <t>Total Fee</t>
  </si>
  <si>
    <t>NUMBER OF LOTS</t>
  </si>
  <si>
    <t>Map waiver</t>
  </si>
  <si>
    <t>number of lots</t>
  </si>
  <si>
    <t>TOTAL REVIEW FEE</t>
  </si>
  <si>
    <t>a</t>
  </si>
  <si>
    <t>b</t>
  </si>
  <si>
    <t>c</t>
  </si>
  <si>
    <t>d</t>
  </si>
  <si>
    <t>map corrections</t>
  </si>
  <si>
    <t>Name</t>
  </si>
  <si>
    <t>Applicant Contact Information</t>
  </si>
  <si>
    <t>Company</t>
  </si>
  <si>
    <t>Email</t>
  </si>
  <si>
    <t>Street Address</t>
  </si>
  <si>
    <t>Phone</t>
  </si>
  <si>
    <t>City</t>
  </si>
  <si>
    <t>Zip</t>
  </si>
  <si>
    <t>Project/Case Information</t>
  </si>
  <si>
    <t>MC#</t>
  </si>
  <si>
    <t>APN(s)</t>
  </si>
  <si>
    <t>Site Address:</t>
  </si>
  <si>
    <t>TOTAL FEE REQUIRED AT SUBMITTAL</t>
  </si>
  <si>
    <t>ENG #</t>
  </si>
  <si>
    <t>RATE OF INCREASE</t>
  </si>
  <si>
    <t>10% of plan review fee</t>
  </si>
  <si>
    <t>Updated fees effective on 08/25/2025</t>
  </si>
  <si>
    <t>$ 13,956 + $ 69 per lot over 50 lots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</si>
</sst>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0.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u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Border="1"/>
    <xf numFmtId="44" fontId="0" fillId="0" borderId="2" xfId="1" applyFont="1" applyBorder="1"/>
    <xf numFmtId="0" fontId="6" fillId="0" borderId="0" xfId="0" applyFont="1" applyBorder="1" applyAlignment="1">
      <alignment horizontal="center" vertical="center"/>
    </xf>
    <xf numFmtId="164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44" fontId="0" fillId="0" borderId="0" xfId="1" applyFont="1" applyBorder="1"/>
    <xf numFmtId="0" fontId="0" fillId="0" borderId="0" xfId="1" applyNumberFormat="1" applyFont="1" applyBorder="1"/>
    <xf numFmtId="44" fontId="0" fillId="0" borderId="2" xfId="1" applyFont="1" applyBorder="1" applyAlignment="1">
      <alignment horizontal="left"/>
    </xf>
    <xf numFmtId="44" fontId="0" fillId="2" borderId="0" xfId="1" applyFont="1" applyFill="1" applyBorder="1"/>
    <xf numFmtId="0" fontId="0" fillId="0" borderId="0" xfId="0" applyProtection="1"/>
    <xf numFmtId="0" fontId="5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right"/>
    </xf>
    <xf numFmtId="0" fontId="0" fillId="0" borderId="0" xfId="0" applyAlignment="1" applyProtection="1"/>
    <xf numFmtId="0" fontId="0" fillId="0" borderId="1" xfId="0" applyBorder="1" applyProtection="1"/>
    <xf numFmtId="0" fontId="0" fillId="0" borderId="1" xfId="0" applyBorder="1" applyAlignment="1" applyProtection="1">
      <alignment horizontal="center"/>
    </xf>
    <xf numFmtId="0" fontId="0" fillId="0" borderId="1" xfId="0" applyBorder="1" applyAlignment="1" applyProtection="1"/>
    <xf numFmtId="44" fontId="0" fillId="0" borderId="0" xfId="1" applyFont="1" applyBorder="1" applyAlignment="1" applyProtection="1"/>
    <xf numFmtId="44" fontId="0" fillId="0" borderId="0" xfId="1" applyFont="1" applyBorder="1" applyAlignment="1" applyProtection="1">
      <alignment wrapText="1"/>
    </xf>
    <xf numFmtId="0" fontId="8" fillId="0" borderId="13" xfId="0" applyFont="1" applyBorder="1" applyAlignment="1"/>
    <xf numFmtId="0" fontId="8" fillId="0" borderId="8" xfId="0" applyFont="1" applyBorder="1" applyAlignment="1"/>
    <xf numFmtId="0" fontId="8" fillId="0" borderId="13" xfId="0" applyFont="1" applyBorder="1"/>
    <xf numFmtId="44" fontId="0" fillId="0" borderId="0" xfId="1" applyFont="1" applyBorder="1" applyAlignment="1" applyProtection="1">
      <alignment horizontal="right"/>
    </xf>
    <xf numFmtId="0" fontId="0" fillId="3" borderId="14" xfId="0" applyFill="1" applyBorder="1" applyAlignment="1" applyProtection="1">
      <protection locked="0"/>
    </xf>
    <xf numFmtId="0" fontId="0" fillId="3" borderId="10" xfId="0" applyFill="1" applyBorder="1" applyAlignment="1" applyProtection="1">
      <protection locked="0"/>
    </xf>
    <xf numFmtId="0" fontId="0" fillId="3" borderId="14" xfId="0" applyFill="1" applyBorder="1" applyProtection="1"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right"/>
    </xf>
    <xf numFmtId="0" fontId="0" fillId="4" borderId="15" xfId="0" applyFill="1" applyBorder="1"/>
    <xf numFmtId="10" fontId="0" fillId="4" borderId="16" xfId="2" applyNumberFormat="1" applyFont="1" applyFill="1" applyBorder="1"/>
    <xf numFmtId="0" fontId="0" fillId="4" borderId="16" xfId="0" applyFill="1" applyBorder="1"/>
    <xf numFmtId="0" fontId="0" fillId="4" borderId="17" xfId="0" applyFill="1" applyBorder="1"/>
    <xf numFmtId="165" fontId="0" fillId="0" borderId="0" xfId="1" applyNumberFormat="1" applyFont="1"/>
    <xf numFmtId="44" fontId="10" fillId="0" borderId="0" xfId="0" applyNumberFormat="1" applyFont="1" applyProtection="1"/>
    <xf numFmtId="0" fontId="0" fillId="0" borderId="0" xfId="0" applyProtection="1">
      <protection locked="0"/>
    </xf>
    <xf numFmtId="0" fontId="0" fillId="0" borderId="1" xfId="0" applyBorder="1" applyAlignment="1">
      <alignment horizontal="center"/>
    </xf>
    <xf numFmtId="44" fontId="0" fillId="0" borderId="2" xfId="1" applyFont="1" applyBorder="1" applyAlignment="1" applyProtection="1">
      <alignment horizontal="center"/>
    </xf>
    <xf numFmtId="44" fontId="10" fillId="0" borderId="0" xfId="1" applyFont="1" applyBorder="1" applyAlignment="1" applyProtection="1">
      <alignment horizontal="center"/>
    </xf>
    <xf numFmtId="44" fontId="10" fillId="0" borderId="2" xfId="1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44" fontId="0" fillId="0" borderId="0" xfId="1" applyFont="1" applyBorder="1" applyAlignment="1" applyProtection="1">
      <alignment horizontal="center"/>
    </xf>
    <xf numFmtId="44" fontId="9" fillId="0" borderId="0" xfId="1" applyFont="1" applyBorder="1" applyAlignment="1" applyProtection="1">
      <alignment horizontal="center"/>
    </xf>
    <xf numFmtId="0" fontId="7" fillId="0" borderId="7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0" fillId="3" borderId="9" xfId="0" applyFont="1" applyFill="1" applyBorder="1" applyAlignment="1" applyProtection="1">
      <alignment horizontal="center" vertical="center"/>
      <protection locked="0"/>
    </xf>
    <xf numFmtId="0" fontId="0" fillId="3" borderId="10" xfId="0" applyFont="1" applyFill="1" applyBorder="1" applyAlignment="1" applyProtection="1">
      <alignment horizontal="center" vertical="center"/>
      <protection locked="0"/>
    </xf>
    <xf numFmtId="0" fontId="8" fillId="0" borderId="7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0" fillId="3" borderId="9" xfId="0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7" fillId="0" borderId="4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8" fillId="0" borderId="12" xfId="0" applyFont="1" applyBorder="1" applyAlignment="1">
      <alignment horizontal="left"/>
    </xf>
    <xf numFmtId="16" fontId="0" fillId="0" borderId="0" xfId="0" quotePrefix="1" applyNumberFormat="1" applyAlignment="1" applyProtection="1">
      <alignment horizontal="center"/>
    </xf>
    <xf numFmtId="0" fontId="0" fillId="4" borderId="0" xfId="0" applyFill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9">
    <dxf>
      <font>
        <b/>
        <i val="0"/>
        <color theme="0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fmlaLink="tables!$B$2" noThreeD="1"/>
</file>

<file path=xl/ctrlProps/ctrlProp2.xml><?xml version="1.0" encoding="utf-8"?>
<formControlPr xmlns="http://schemas.microsoft.com/office/spreadsheetml/2009/9/main" objectType="Radio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66261</xdr:rowOff>
    </xdr:from>
    <xdr:to>
      <xdr:col>1</xdr:col>
      <xdr:colOff>962025</xdr:colOff>
      <xdr:row>4</xdr:row>
      <xdr:rowOff>180561</xdr:rowOff>
    </xdr:to>
    <xdr:pic>
      <xdr:nvPicPr>
        <xdr:cNvPr id="2" name="Picture 1" descr="seal_doc_b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460" y="66261"/>
          <a:ext cx="952500" cy="9259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133350</xdr:rowOff>
        </xdr:from>
        <xdr:to>
          <xdr:col>1</xdr:col>
          <xdr:colOff>76200</xdr:colOff>
          <xdr:row>17</xdr:row>
          <xdr:rowOff>38100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133350</xdr:rowOff>
        </xdr:from>
        <xdr:to>
          <xdr:col>1</xdr:col>
          <xdr:colOff>76200</xdr:colOff>
          <xdr:row>29</xdr:row>
          <xdr:rowOff>47625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1</xdr:col>
      <xdr:colOff>1010478</xdr:colOff>
      <xdr:row>0</xdr:row>
      <xdr:rowOff>33131</xdr:rowOff>
    </xdr:from>
    <xdr:to>
      <xdr:col>3</xdr:col>
      <xdr:colOff>745435</xdr:colOff>
      <xdr:row>4</xdr:row>
      <xdr:rowOff>226650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183006" y="33131"/>
          <a:ext cx="1506967" cy="10058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endParaRPr lang="en-US" sz="11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en-US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Engineering Services </a:t>
          </a:r>
        </a:p>
        <a:p>
          <a:r>
            <a:rPr lang="en-US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Phone: (661) 286-4060</a:t>
          </a:r>
        </a:p>
        <a:p>
          <a:r>
            <a:rPr lang="en-US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www.santa-clarita.com</a:t>
          </a:r>
        </a:p>
        <a:p>
          <a:endParaRPr lang="en-US" sz="1100"/>
        </a:p>
      </xdr:txBody>
    </xdr:sp>
    <xdr:clientData/>
  </xdr:twoCellAnchor>
  <xdr:twoCellAnchor>
    <xdr:from>
      <xdr:col>3</xdr:col>
      <xdr:colOff>758048</xdr:colOff>
      <xdr:row>0</xdr:row>
      <xdr:rowOff>33506</xdr:rowOff>
    </xdr:from>
    <xdr:to>
      <xdr:col>7</xdr:col>
      <xdr:colOff>1190626</xdr:colOff>
      <xdr:row>4</xdr:row>
      <xdr:rowOff>227025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702586" y="33506"/>
          <a:ext cx="3559653" cy="10058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>
              <a:solidFill>
                <a:schemeClr val="dk1"/>
              </a:solidFill>
              <a:effectLst/>
              <a:latin typeface="Britannic Bold" panose="020B0903060703020204" pitchFamily="34" charset="0"/>
              <a:ea typeface="+mn-ea"/>
              <a:cs typeface="+mn-cs"/>
            </a:rPr>
            <a:t>FINAL/PARCEL</a:t>
          </a:r>
          <a:r>
            <a:rPr lang="en-US" sz="1800" baseline="0">
              <a:solidFill>
                <a:schemeClr val="dk1"/>
              </a:solidFill>
              <a:effectLst/>
              <a:latin typeface="Britannic Bold" panose="020B0903060703020204" pitchFamily="34" charset="0"/>
              <a:ea typeface="+mn-ea"/>
              <a:cs typeface="+mn-cs"/>
            </a:rPr>
            <a:t> MAP CHECK</a:t>
          </a:r>
          <a:endParaRPr lang="en-US" sz="1800">
            <a:solidFill>
              <a:schemeClr val="dk1"/>
            </a:solidFill>
            <a:effectLst/>
            <a:latin typeface="Britannic Bold" panose="020B0903060703020204" pitchFamily="34" charset="0"/>
            <a:ea typeface="+mn-ea"/>
            <a:cs typeface="+mn-cs"/>
          </a:endParaRPr>
        </a:p>
        <a:p>
          <a:pPr algn="ctr"/>
          <a:r>
            <a:rPr lang="en-US" sz="1200">
              <a:solidFill>
                <a:schemeClr val="dk1"/>
              </a:solidFill>
              <a:effectLst/>
              <a:latin typeface="Britannic Bold" panose="020B0903060703020204" pitchFamily="34" charset="0"/>
              <a:ea typeface="+mn-ea"/>
              <a:cs typeface="+mn-cs"/>
            </a:rPr>
            <a:t>FEE CALCULATION SHEET</a:t>
          </a:r>
        </a:p>
        <a:p>
          <a:pPr algn="ctr"/>
          <a:endParaRPr lang="en-US" sz="1200">
            <a:solidFill>
              <a:schemeClr val="dk1"/>
            </a:solidFill>
            <a:effectLst/>
            <a:latin typeface="Britannic Bold" panose="020B0903060703020204" pitchFamily="34" charset="0"/>
            <a:ea typeface="+mn-ea"/>
            <a:cs typeface="+mn-cs"/>
          </a:endParaRPr>
        </a:p>
        <a:p>
          <a:pPr algn="ctr"/>
          <a:r>
            <a:rPr lang="en-US" sz="120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Case number FM___-_______</a:t>
          </a:r>
        </a:p>
      </xdr:txBody>
    </xdr:sp>
    <xdr:clientData/>
  </xdr:twoCellAnchor>
  <xdr:twoCellAnchor editAs="oneCell">
    <xdr:from>
      <xdr:col>1</xdr:col>
      <xdr:colOff>1093304</xdr:colOff>
      <xdr:row>0</xdr:row>
      <xdr:rowOff>107674</xdr:rowOff>
    </xdr:from>
    <xdr:to>
      <xdr:col>3</xdr:col>
      <xdr:colOff>721465</xdr:colOff>
      <xdr:row>1</xdr:row>
      <xdr:rowOff>173935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7239" y="107674"/>
          <a:ext cx="1400639" cy="2650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CD596-2080-438A-986E-BF1C506BF80F}">
  <dimension ref="A1:J41"/>
  <sheetViews>
    <sheetView tabSelected="1" view="pageLayout" zoomScale="115" zoomScaleNormal="100" zoomScalePageLayoutView="115" workbookViewId="0">
      <selection activeCell="E12" sqref="E12"/>
    </sheetView>
  </sheetViews>
  <sheetFormatPr defaultColWidth="9.140625" defaultRowHeight="15" x14ac:dyDescent="0.25"/>
  <cols>
    <col min="1" max="1" width="2.42578125" customWidth="1"/>
    <col min="2" max="2" width="16.85546875" customWidth="1"/>
    <col min="3" max="3" width="8.140625" customWidth="1"/>
    <col min="4" max="4" width="12.7109375" customWidth="1"/>
    <col min="5" max="5" width="14" customWidth="1"/>
    <col min="6" max="6" width="2.28515625" customWidth="1"/>
    <col min="7" max="7" width="15" customWidth="1"/>
    <col min="8" max="8" width="17" customWidth="1"/>
  </cols>
  <sheetData>
    <row r="1" spans="1:10" ht="15.75" x14ac:dyDescent="0.25">
      <c r="C1" s="1"/>
    </row>
    <row r="2" spans="1:10" x14ac:dyDescent="0.25">
      <c r="C2" s="2"/>
    </row>
    <row r="4" spans="1:10" ht="18" x14ac:dyDescent="0.25">
      <c r="C4" s="3"/>
    </row>
    <row r="5" spans="1:10" ht="18" x14ac:dyDescent="0.25">
      <c r="C5" s="3"/>
    </row>
    <row r="6" spans="1:10" ht="15.75" thickBot="1" x14ac:dyDescent="0.3">
      <c r="B6" s="40" t="s">
        <v>45</v>
      </c>
      <c r="C6" s="40"/>
      <c r="D6" s="40"/>
      <c r="E6" s="40"/>
      <c r="F6" s="40"/>
      <c r="G6" s="40"/>
      <c r="H6" s="40"/>
      <c r="I6" s="4"/>
      <c r="J6" s="4"/>
    </row>
    <row r="7" spans="1:10" ht="15.75" thickTop="1" x14ac:dyDescent="0.25"/>
    <row r="8" spans="1:10" x14ac:dyDescent="0.25">
      <c r="B8" s="59" t="s">
        <v>30</v>
      </c>
      <c r="C8" s="60"/>
      <c r="D8" s="60"/>
      <c r="E8" s="61"/>
      <c r="G8" s="49" t="s">
        <v>37</v>
      </c>
      <c r="H8" s="50"/>
    </row>
    <row r="9" spans="1:10" x14ac:dyDescent="0.25">
      <c r="B9" s="62" t="s">
        <v>29</v>
      </c>
      <c r="C9" s="63"/>
      <c r="D9" s="55" t="s">
        <v>33</v>
      </c>
      <c r="E9" s="56"/>
      <c r="G9" s="26" t="s">
        <v>38</v>
      </c>
      <c r="H9" s="26" t="s">
        <v>42</v>
      </c>
    </row>
    <row r="10" spans="1:10" x14ac:dyDescent="0.25">
      <c r="B10" s="57"/>
      <c r="C10" s="58"/>
      <c r="D10" s="57"/>
      <c r="E10" s="58"/>
      <c r="G10" s="30"/>
      <c r="H10" s="30"/>
    </row>
    <row r="11" spans="1:10" x14ac:dyDescent="0.25">
      <c r="B11" s="55" t="s">
        <v>31</v>
      </c>
      <c r="C11" s="56"/>
      <c r="D11" s="24" t="s">
        <v>35</v>
      </c>
      <c r="E11" s="25" t="s">
        <v>36</v>
      </c>
      <c r="G11" s="55" t="s">
        <v>39</v>
      </c>
      <c r="H11" s="56"/>
    </row>
    <row r="12" spans="1:10" x14ac:dyDescent="0.25">
      <c r="B12" s="57"/>
      <c r="C12" s="58"/>
      <c r="D12" s="28"/>
      <c r="E12" s="29"/>
      <c r="G12" s="57"/>
      <c r="H12" s="58"/>
    </row>
    <row r="13" spans="1:10" ht="15" customHeight="1" x14ac:dyDescent="0.25">
      <c r="B13" s="55" t="s">
        <v>32</v>
      </c>
      <c r="C13" s="56"/>
      <c r="D13" s="55" t="s">
        <v>34</v>
      </c>
      <c r="E13" s="56"/>
      <c r="G13" s="51" t="s">
        <v>40</v>
      </c>
      <c r="H13" s="52"/>
    </row>
    <row r="14" spans="1:10" ht="15" customHeight="1" x14ac:dyDescent="0.25">
      <c r="B14" s="57"/>
      <c r="C14" s="58"/>
      <c r="D14" s="57"/>
      <c r="E14" s="58"/>
      <c r="G14" s="53"/>
      <c r="H14" s="54"/>
    </row>
    <row r="15" spans="1:10" ht="15.75" thickBot="1" x14ac:dyDescent="0.3">
      <c r="A15" s="19"/>
      <c r="B15" s="19"/>
      <c r="C15" s="20"/>
      <c r="D15" s="21"/>
      <c r="E15" s="21"/>
      <c r="F15" s="19"/>
      <c r="G15" s="19"/>
      <c r="H15" s="20"/>
    </row>
    <row r="16" spans="1:10" ht="15.75" thickTop="1" x14ac:dyDescent="0.25">
      <c r="A16" s="14"/>
      <c r="B16" s="14"/>
      <c r="C16" s="16"/>
      <c r="D16" s="14"/>
      <c r="E16" s="14"/>
      <c r="F16" s="14"/>
      <c r="G16" s="14"/>
      <c r="H16" s="14"/>
    </row>
    <row r="17" spans="1:8" x14ac:dyDescent="0.25">
      <c r="A17" s="14"/>
      <c r="B17" s="14" t="s">
        <v>9</v>
      </c>
      <c r="C17" s="14"/>
      <c r="E17" s="18"/>
      <c r="F17" s="44" t="s">
        <v>20</v>
      </c>
      <c r="G17" s="45"/>
      <c r="H17" s="31">
        <v>0</v>
      </c>
    </row>
    <row r="18" spans="1:8" ht="6.75" customHeight="1" x14ac:dyDescent="0.25">
      <c r="A18" s="14"/>
      <c r="B18" s="14"/>
      <c r="C18" s="14"/>
      <c r="D18" s="14"/>
      <c r="E18" s="14"/>
      <c r="F18" s="14"/>
      <c r="G18" s="14"/>
      <c r="H18" s="14"/>
    </row>
    <row r="19" spans="1:8" x14ac:dyDescent="0.25">
      <c r="A19" s="14"/>
      <c r="B19" s="46" t="s">
        <v>0</v>
      </c>
      <c r="C19" s="46"/>
      <c r="D19" s="46" t="s">
        <v>1</v>
      </c>
      <c r="E19" s="46"/>
      <c r="F19" s="46"/>
      <c r="G19" s="46" t="s">
        <v>2</v>
      </c>
      <c r="H19" s="46"/>
    </row>
    <row r="20" spans="1:8" x14ac:dyDescent="0.25">
      <c r="A20" s="14"/>
      <c r="B20" s="44"/>
      <c r="C20" s="44"/>
      <c r="D20" s="14"/>
      <c r="E20" s="14"/>
      <c r="F20" s="14"/>
      <c r="G20" s="14"/>
      <c r="H20" s="14"/>
    </row>
    <row r="21" spans="1:8" x14ac:dyDescent="0.25">
      <c r="A21" s="14"/>
      <c r="B21" s="64" t="s">
        <v>6</v>
      </c>
      <c r="C21" s="44"/>
      <c r="D21" s="47">
        <f>tables!D10</f>
        <v>10569</v>
      </c>
      <c r="E21" s="47"/>
      <c r="F21" s="22"/>
      <c r="G21" s="47" t="e">
        <f>IF(tables!B2=1,tables!I19,0)</f>
        <v>#N/A</v>
      </c>
      <c r="H21" s="47"/>
    </row>
    <row r="22" spans="1:8" x14ac:dyDescent="0.25">
      <c r="A22" s="14"/>
      <c r="B22" s="44"/>
      <c r="C22" s="44"/>
      <c r="D22" s="14"/>
      <c r="E22" s="14"/>
      <c r="F22" s="14"/>
      <c r="G22" s="14"/>
      <c r="H22" s="14"/>
    </row>
    <row r="23" spans="1:8" x14ac:dyDescent="0.25">
      <c r="A23" s="14"/>
      <c r="B23" s="64" t="s">
        <v>7</v>
      </c>
      <c r="C23" s="44"/>
      <c r="D23" s="47">
        <f>tables!D11</f>
        <v>12550</v>
      </c>
      <c r="E23" s="47"/>
      <c r="F23" s="22"/>
      <c r="G23" s="47" t="e">
        <f>IF(tables!B2=1,tables!I21,0)</f>
        <v>#N/A</v>
      </c>
      <c r="H23" s="47"/>
    </row>
    <row r="24" spans="1:8" x14ac:dyDescent="0.25">
      <c r="A24" s="14"/>
      <c r="B24" s="44"/>
      <c r="C24" s="44"/>
      <c r="D24" s="14"/>
      <c r="E24" s="14"/>
      <c r="F24" s="14"/>
      <c r="G24" s="14"/>
      <c r="H24" s="14"/>
    </row>
    <row r="25" spans="1:8" x14ac:dyDescent="0.25">
      <c r="A25" s="14"/>
      <c r="B25" s="64" t="s">
        <v>8</v>
      </c>
      <c r="C25" s="44"/>
      <c r="D25" s="47">
        <f>tables!D12</f>
        <v>13956</v>
      </c>
      <c r="E25" s="47"/>
      <c r="F25" s="22"/>
      <c r="G25" s="47" t="e">
        <f>IF(tables!B2=1,tables!I23,0)</f>
        <v>#N/A</v>
      </c>
      <c r="H25" s="47"/>
    </row>
    <row r="26" spans="1:8" x14ac:dyDescent="0.25">
      <c r="A26" s="14"/>
      <c r="B26" s="44"/>
      <c r="C26" s="44"/>
      <c r="D26" s="14"/>
      <c r="E26" s="14"/>
      <c r="F26" s="14"/>
      <c r="G26" s="14"/>
      <c r="H26" s="14"/>
    </row>
    <row r="27" spans="1:8" ht="15" customHeight="1" x14ac:dyDescent="0.25">
      <c r="A27" s="14"/>
      <c r="B27" s="44" t="s">
        <v>5</v>
      </c>
      <c r="C27" s="44"/>
      <c r="D27" s="48" t="str">
        <f>tables!L9</f>
        <v>$ 13,956 + $ 69 per lot over 50 lots</v>
      </c>
      <c r="E27" s="48"/>
      <c r="F27" s="23"/>
      <c r="G27" s="47" t="e">
        <f>IF(tables!B2=1,tables!I25,0)</f>
        <v>#N/A</v>
      </c>
      <c r="H27" s="47"/>
    </row>
    <row r="28" spans="1:8" x14ac:dyDescent="0.25">
      <c r="A28" s="14"/>
      <c r="B28" s="44"/>
      <c r="C28" s="44"/>
      <c r="D28" s="14"/>
      <c r="E28" s="14"/>
      <c r="F28" s="14"/>
      <c r="G28" s="14"/>
      <c r="H28" s="14"/>
    </row>
    <row r="29" spans="1:8" x14ac:dyDescent="0.25">
      <c r="A29" s="14"/>
      <c r="B29" s="44" t="s">
        <v>4</v>
      </c>
      <c r="C29" s="44"/>
      <c r="D29" s="47">
        <f>tables!C27</f>
        <v>4364</v>
      </c>
      <c r="E29" s="47"/>
      <c r="F29" s="22"/>
      <c r="G29" s="41">
        <f>IF(tables!$B$2=2,tables!C27,0)</f>
        <v>0</v>
      </c>
      <c r="H29" s="41"/>
    </row>
    <row r="30" spans="1:8" x14ac:dyDescent="0.25">
      <c r="A30" s="14"/>
      <c r="B30" s="14"/>
      <c r="C30" s="14"/>
      <c r="D30" s="14"/>
      <c r="E30" s="14"/>
      <c r="F30" s="14"/>
      <c r="G30" s="14"/>
      <c r="H30" s="38" t="e">
        <f>G21+G23+G25+G27+G29</f>
        <v>#N/A</v>
      </c>
    </row>
    <row r="31" spans="1:8" x14ac:dyDescent="0.25">
      <c r="A31" s="14"/>
      <c r="B31" s="14"/>
      <c r="C31" s="14"/>
      <c r="D31" s="14"/>
      <c r="E31" s="14"/>
      <c r="F31" s="17" t="s">
        <v>23</v>
      </c>
      <c r="G31" s="42" t="e">
        <f>H30</f>
        <v>#N/A</v>
      </c>
      <c r="H31" s="42"/>
    </row>
    <row r="32" spans="1:8" x14ac:dyDescent="0.25">
      <c r="A32" s="14"/>
      <c r="B32" s="14"/>
      <c r="C32" s="14"/>
      <c r="D32" s="14"/>
      <c r="E32" s="14"/>
      <c r="F32" s="14"/>
      <c r="G32" s="14"/>
      <c r="H32" s="14"/>
    </row>
    <row r="33" spans="1:10" x14ac:dyDescent="0.25">
      <c r="A33" s="14"/>
      <c r="B33" s="44" t="s">
        <v>3</v>
      </c>
      <c r="C33" s="44"/>
      <c r="D33" s="14"/>
      <c r="E33" s="14"/>
      <c r="F33" s="27" t="s">
        <v>44</v>
      </c>
      <c r="G33" s="43" t="e">
        <f>G31*0.1</f>
        <v>#N/A</v>
      </c>
      <c r="H33" s="43"/>
      <c r="J33" t="e">
        <f>IF(G35,0,1)</f>
        <v>#N/A</v>
      </c>
    </row>
    <row r="34" spans="1:10" x14ac:dyDescent="0.25">
      <c r="A34" s="14"/>
      <c r="B34" s="14"/>
      <c r="C34" s="14"/>
      <c r="D34" s="14"/>
      <c r="E34" s="14"/>
      <c r="F34" s="14"/>
      <c r="G34" s="14"/>
      <c r="H34" s="14"/>
    </row>
    <row r="35" spans="1:10" x14ac:dyDescent="0.25">
      <c r="A35" s="14"/>
      <c r="B35" s="14"/>
      <c r="C35" s="14"/>
      <c r="D35" s="14"/>
      <c r="E35" s="14"/>
      <c r="F35" s="32" t="s">
        <v>41</v>
      </c>
      <c r="G35" s="42" t="e">
        <f>G31+G33</f>
        <v>#N/A</v>
      </c>
      <c r="H35" s="42"/>
    </row>
    <row r="36" spans="1:10" x14ac:dyDescent="0.25">
      <c r="A36" s="14"/>
      <c r="B36" s="14"/>
      <c r="C36" s="14"/>
      <c r="D36" s="14"/>
      <c r="E36" s="14"/>
      <c r="F36" s="14"/>
      <c r="G36" s="14"/>
      <c r="H36" s="14"/>
    </row>
    <row r="37" spans="1:10" x14ac:dyDescent="0.25">
      <c r="A37" s="14"/>
      <c r="B37" s="14"/>
      <c r="C37" s="14"/>
      <c r="D37" s="14"/>
      <c r="E37" s="14"/>
      <c r="F37" s="14"/>
      <c r="G37" s="14"/>
      <c r="H37" s="14"/>
    </row>
    <row r="38" spans="1:10" x14ac:dyDescent="0.25">
      <c r="A38" s="14"/>
      <c r="B38" s="14"/>
      <c r="C38" s="14"/>
      <c r="D38" s="14"/>
      <c r="E38" s="14"/>
      <c r="F38" s="14"/>
      <c r="G38" s="14"/>
      <c r="H38" s="14"/>
    </row>
    <row r="39" spans="1:10" x14ac:dyDescent="0.25">
      <c r="A39" s="14"/>
      <c r="B39" s="46"/>
      <c r="C39" s="46"/>
      <c r="D39" s="15"/>
      <c r="E39" s="15"/>
      <c r="F39" s="15"/>
      <c r="G39" s="15"/>
      <c r="H39" s="15"/>
    </row>
    <row r="40" spans="1:10" x14ac:dyDescent="0.25">
      <c r="A40" s="14"/>
      <c r="B40" s="44"/>
      <c r="C40" s="44"/>
      <c r="D40" s="14"/>
      <c r="E40" s="14"/>
      <c r="F40" s="14"/>
      <c r="G40" s="14"/>
      <c r="H40" s="14"/>
    </row>
    <row r="41" spans="1:10" x14ac:dyDescent="0.25">
      <c r="A41" s="14"/>
      <c r="B41" s="14"/>
      <c r="C41" s="14"/>
      <c r="D41" s="14"/>
      <c r="E41" s="14"/>
      <c r="F41" s="14"/>
      <c r="G41" s="14"/>
      <c r="H41" s="14"/>
    </row>
  </sheetData>
  <sheetProtection algorithmName="SHA-512" hashValue="0wH0voVBqlHNnkeVivq7zcoPZOzqVExBMhisJB7jtY+QXZXGHkWxyA+BQp4kcCmPhLjMt+NuNkB5n9H0DvqfDg==" saltValue="EEwBwPEhPzMGbh4s2Df/mQ==" spinCount="100000" sheet="1" objects="1" scenarios="1" selectLockedCells="1"/>
  <mergeCells count="47">
    <mergeCell ref="D29:E29"/>
    <mergeCell ref="B12:C12"/>
    <mergeCell ref="B40:C40"/>
    <mergeCell ref="B19:C19"/>
    <mergeCell ref="B20:C20"/>
    <mergeCell ref="B21:C21"/>
    <mergeCell ref="B27:C27"/>
    <mergeCell ref="B28:C28"/>
    <mergeCell ref="B29:C29"/>
    <mergeCell ref="B33:C33"/>
    <mergeCell ref="B39:C39"/>
    <mergeCell ref="B22:C22"/>
    <mergeCell ref="B23:C23"/>
    <mergeCell ref="B24:C24"/>
    <mergeCell ref="B25:C25"/>
    <mergeCell ref="B26:C26"/>
    <mergeCell ref="B8:E8"/>
    <mergeCell ref="D9:E9"/>
    <mergeCell ref="D10:E10"/>
    <mergeCell ref="D13:E13"/>
    <mergeCell ref="D14:E14"/>
    <mergeCell ref="B13:C13"/>
    <mergeCell ref="B14:C14"/>
    <mergeCell ref="B9:C9"/>
    <mergeCell ref="B10:C10"/>
    <mergeCell ref="B11:C11"/>
    <mergeCell ref="G8:H8"/>
    <mergeCell ref="G13:H13"/>
    <mergeCell ref="G14:H14"/>
    <mergeCell ref="G11:H11"/>
    <mergeCell ref="G12:H12"/>
    <mergeCell ref="B6:H6"/>
    <mergeCell ref="G29:H29"/>
    <mergeCell ref="G31:H31"/>
    <mergeCell ref="G33:H33"/>
    <mergeCell ref="G35:H35"/>
    <mergeCell ref="F17:G17"/>
    <mergeCell ref="G19:H19"/>
    <mergeCell ref="G21:H21"/>
    <mergeCell ref="G23:H23"/>
    <mergeCell ref="G25:H25"/>
    <mergeCell ref="G27:H27"/>
    <mergeCell ref="D21:E21"/>
    <mergeCell ref="D23:E23"/>
    <mergeCell ref="D25:E25"/>
    <mergeCell ref="D27:E27"/>
    <mergeCell ref="D19:F19"/>
  </mergeCells>
  <conditionalFormatting sqref="G21:H21">
    <cfRule type="expression" dxfId="8" priority="20">
      <formula>$H$17=0</formula>
    </cfRule>
  </conditionalFormatting>
  <conditionalFormatting sqref="G23:H23">
    <cfRule type="expression" dxfId="7" priority="19">
      <formula>$H$17=0</formula>
    </cfRule>
  </conditionalFormatting>
  <conditionalFormatting sqref="G25:H25">
    <cfRule type="expression" dxfId="6" priority="18">
      <formula>$H$17=0</formula>
    </cfRule>
  </conditionalFormatting>
  <conditionalFormatting sqref="G27:H27">
    <cfRule type="expression" dxfId="5" priority="17">
      <formula>$H$17=0</formula>
    </cfRule>
  </conditionalFormatting>
  <conditionalFormatting sqref="G31:H31">
    <cfRule type="expression" dxfId="4" priority="3">
      <formula>$H$30&gt;0</formula>
    </cfRule>
  </conditionalFormatting>
  <conditionalFormatting sqref="G33:H33">
    <cfRule type="expression" dxfId="3" priority="2">
      <formula>$H$30&gt;0</formula>
    </cfRule>
  </conditionalFormatting>
  <conditionalFormatting sqref="G35:H35">
    <cfRule type="expression" dxfId="2" priority="1">
      <formula>$H$30&gt;0</formula>
    </cfRule>
  </conditionalFormatting>
  <printOptions horizontalCentered="1"/>
  <pageMargins left="0.5" right="0.5" top="0.75" bottom="0.75" header="0" footer="0"/>
  <pageSetup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Option Button 3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15</xdr:row>
                    <xdr:rowOff>133350</xdr:rowOff>
                  </from>
                  <to>
                    <xdr:col>1</xdr:col>
                    <xdr:colOff>76200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Option Button 7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27</xdr:row>
                    <xdr:rowOff>133350</xdr:rowOff>
                  </from>
                  <to>
                    <xdr:col>1</xdr:col>
                    <xdr:colOff>76200</xdr:colOff>
                    <xdr:row>29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0" id="{47519C7D-6A34-498B-A151-76D49C1F213E}">
            <xm:f>tables!$B$2=1</xm:f>
            <x14:dxf>
              <font>
                <color theme="0"/>
              </font>
            </x14:dxf>
          </x14:cfRule>
          <xm:sqref>G29:H29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721E2-F801-4983-B160-B7564AA6FB4C}">
  <dimension ref="B2:W42"/>
  <sheetViews>
    <sheetView workbookViewId="0">
      <selection activeCell="C11" sqref="B11:C11"/>
    </sheetView>
  </sheetViews>
  <sheetFormatPr defaultRowHeight="15" x14ac:dyDescent="0.25"/>
  <cols>
    <col min="2" max="2" width="11.5703125" bestFit="1" customWidth="1"/>
    <col min="3" max="3" width="10.85546875" customWidth="1"/>
    <col min="9" max="9" width="16.28515625" customWidth="1"/>
    <col min="11" max="11" width="10" bestFit="1" customWidth="1"/>
    <col min="12" max="15" width="9.140625" customWidth="1"/>
    <col min="19" max="19" width="12.85546875" customWidth="1"/>
  </cols>
  <sheetData>
    <row r="2" spans="2:23" x14ac:dyDescent="0.25">
      <c r="B2" s="39">
        <v>1</v>
      </c>
    </row>
    <row r="8" spans="2:23" x14ac:dyDescent="0.25">
      <c r="B8" t="s">
        <v>15</v>
      </c>
      <c r="R8" t="s">
        <v>15</v>
      </c>
    </row>
    <row r="9" spans="2:23" x14ac:dyDescent="0.25">
      <c r="B9" t="s">
        <v>10</v>
      </c>
      <c r="C9" t="s">
        <v>10</v>
      </c>
      <c r="D9" t="s">
        <v>11</v>
      </c>
      <c r="E9" t="s">
        <v>12</v>
      </c>
      <c r="F9" t="s">
        <v>16</v>
      </c>
      <c r="G9" t="s">
        <v>13</v>
      </c>
      <c r="L9" s="12" t="s">
        <v>46</v>
      </c>
      <c r="R9" t="s">
        <v>10</v>
      </c>
      <c r="S9" t="s">
        <v>10</v>
      </c>
      <c r="T9" t="s">
        <v>11</v>
      </c>
      <c r="U9" t="s">
        <v>12</v>
      </c>
      <c r="V9" t="s">
        <v>16</v>
      </c>
      <c r="W9" t="s">
        <v>13</v>
      </c>
    </row>
    <row r="10" spans="2:23" x14ac:dyDescent="0.25">
      <c r="B10">
        <v>1</v>
      </c>
      <c r="C10">
        <v>4</v>
      </c>
      <c r="D10">
        <v>10569</v>
      </c>
      <c r="R10">
        <v>1</v>
      </c>
      <c r="S10">
        <v>4</v>
      </c>
      <c r="T10">
        <v>10181</v>
      </c>
    </row>
    <row r="11" spans="2:23" x14ac:dyDescent="0.25">
      <c r="B11">
        <v>5</v>
      </c>
      <c r="C11">
        <v>10</v>
      </c>
      <c r="D11">
        <v>12550</v>
      </c>
      <c r="R11">
        <v>5</v>
      </c>
      <c r="S11">
        <v>10</v>
      </c>
      <c r="T11">
        <v>12057</v>
      </c>
    </row>
    <row r="12" spans="2:23" x14ac:dyDescent="0.25">
      <c r="B12">
        <v>11</v>
      </c>
      <c r="C12">
        <v>50</v>
      </c>
      <c r="D12">
        <v>13956</v>
      </c>
      <c r="R12">
        <v>11</v>
      </c>
      <c r="S12">
        <v>50</v>
      </c>
      <c r="T12">
        <v>13658</v>
      </c>
    </row>
    <row r="13" spans="2:23" x14ac:dyDescent="0.25">
      <c r="B13">
        <v>51</v>
      </c>
      <c r="D13">
        <v>13956</v>
      </c>
      <c r="E13">
        <v>69</v>
      </c>
      <c r="F13">
        <v>1</v>
      </c>
      <c r="G13">
        <v>50</v>
      </c>
      <c r="R13">
        <v>51</v>
      </c>
      <c r="T13">
        <v>13658</v>
      </c>
      <c r="U13">
        <v>72</v>
      </c>
      <c r="V13">
        <v>1</v>
      </c>
      <c r="W13">
        <v>50</v>
      </c>
    </row>
    <row r="14" spans="2:23" ht="15.75" thickBot="1" x14ac:dyDescent="0.3">
      <c r="L14" s="65" t="s">
        <v>43</v>
      </c>
      <c r="M14" s="65"/>
      <c r="N14" s="65"/>
      <c r="O14" s="65"/>
    </row>
    <row r="15" spans="2:23" ht="16.5" thickTop="1" thickBot="1" x14ac:dyDescent="0.3">
      <c r="L15" s="33"/>
      <c r="M15" s="34">
        <v>4.9299999999999997E-2</v>
      </c>
      <c r="N15" s="35"/>
      <c r="O15" s="36"/>
    </row>
    <row r="16" spans="2:23" ht="15.75" thickTop="1" x14ac:dyDescent="0.25">
      <c r="B16" t="s">
        <v>14</v>
      </c>
    </row>
    <row r="17" spans="2:19" x14ac:dyDescent="0.25">
      <c r="B17" s="6" t="e">
        <f>VLOOKUP('map fees'!$H$17,$B$10:G13,1)</f>
        <v>#N/A</v>
      </c>
      <c r="C17" s="6" t="e">
        <f>VLOOKUP('map fees'!$H$17,$B$10:G13,2)</f>
        <v>#N/A</v>
      </c>
      <c r="D17" s="6" t="e">
        <f>VLOOKUP('map fees'!$H$17,$B$10:G13,3)</f>
        <v>#N/A</v>
      </c>
      <c r="E17" s="6" t="e">
        <f>VLOOKUP('map fees'!$H$17,$B$10:G13,4)</f>
        <v>#N/A</v>
      </c>
      <c r="F17" s="6" t="e">
        <f>VLOOKUP('map fees'!$H$17,$B$10:G13,5)</f>
        <v>#N/A</v>
      </c>
      <c r="G17" s="6" t="e">
        <f>VLOOKUP('map fees'!$H$17,$B$10:G13,6)</f>
        <v>#N/A</v>
      </c>
    </row>
    <row r="19" spans="2:19" x14ac:dyDescent="0.25">
      <c r="B19" s="10" t="e">
        <f>D17</f>
        <v>#N/A</v>
      </c>
      <c r="C19" s="8" t="s">
        <v>17</v>
      </c>
      <c r="D19" s="7"/>
      <c r="H19" t="s">
        <v>24</v>
      </c>
      <c r="I19" s="5" t="e">
        <f>IF(tables!$D$17&lt;&gt;tables!D10,0,tables!$B$22)</f>
        <v>#N/A</v>
      </c>
    </row>
    <row r="20" spans="2:19" x14ac:dyDescent="0.25">
      <c r="B20" s="11" t="e">
        <f>'map fees'!H17-tables!G17</f>
        <v>#N/A</v>
      </c>
      <c r="C20" s="8" t="s">
        <v>22</v>
      </c>
      <c r="D20" s="7"/>
    </row>
    <row r="21" spans="2:19" x14ac:dyDescent="0.25">
      <c r="B21" s="10" t="e">
        <f>B20*E17</f>
        <v>#N/A</v>
      </c>
      <c r="C21" s="8" t="s">
        <v>18</v>
      </c>
      <c r="D21" s="7"/>
      <c r="H21" t="s">
        <v>25</v>
      </c>
      <c r="I21" s="5" t="e">
        <f>IF(tables!$D$17&lt;&gt;tables!D11,0,tables!$B$22)</f>
        <v>#N/A</v>
      </c>
    </row>
    <row r="22" spans="2:19" x14ac:dyDescent="0.25">
      <c r="B22" s="13" t="e">
        <f>B19+B21</f>
        <v>#N/A</v>
      </c>
      <c r="C22" s="9" t="s">
        <v>19</v>
      </c>
      <c r="D22" s="4"/>
    </row>
    <row r="23" spans="2:19" x14ac:dyDescent="0.25">
      <c r="H23" t="s">
        <v>26</v>
      </c>
      <c r="I23" s="5" t="e">
        <f>IF(tables!B22&lt;&gt;tables!D12,0,tables!B22)</f>
        <v>#N/A</v>
      </c>
    </row>
    <row r="25" spans="2:19" x14ac:dyDescent="0.25">
      <c r="H25" t="s">
        <v>27</v>
      </c>
      <c r="I25" s="5" t="e">
        <f>IF(tables!G17&gt;0,tables!B22,0)</f>
        <v>#N/A</v>
      </c>
    </row>
    <row r="27" spans="2:19" x14ac:dyDescent="0.25">
      <c r="B27" t="s">
        <v>21</v>
      </c>
      <c r="C27">
        <v>4364</v>
      </c>
      <c r="R27" t="s">
        <v>21</v>
      </c>
      <c r="S27" s="5">
        <v>3817</v>
      </c>
    </row>
    <row r="30" spans="2:19" x14ac:dyDescent="0.25">
      <c r="B30" t="s">
        <v>28</v>
      </c>
      <c r="C30">
        <v>1085</v>
      </c>
      <c r="R30" t="s">
        <v>28</v>
      </c>
      <c r="S30">
        <v>968</v>
      </c>
    </row>
    <row r="33" spans="11:15" x14ac:dyDescent="0.25">
      <c r="K33" s="37">
        <f>C27/S27</f>
        <v>1.143306261461881</v>
      </c>
    </row>
    <row r="42" spans="11:15" x14ac:dyDescent="0.25">
      <c r="O42">
        <f>4005/1.0493</f>
        <v>3816.8302677975798</v>
      </c>
    </row>
  </sheetData>
  <sheetProtection algorithmName="SHA-512" hashValue="1eyJb3sGwi4nkgh30y5Y5Ij3Iwa6g5CkYg3J2jG+9p1GRpUddYoZQn24NfuYSp0c9cGzLRFi/JhvOkWA0+FgXw==" saltValue="DSf061mzXvFAQSzbDgIwZA==" spinCount="100000" sheet="1" objects="1" scenarios="1"/>
  <mergeCells count="1">
    <mergeCell ref="L14:O14"/>
  </mergeCells>
  <conditionalFormatting sqref="L9">
    <cfRule type="expression" dxfId="0" priority="2">
      <formula>$B$2=2</formula>
    </cfRule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map fees</vt:lpstr>
      <vt:lpstr>tables</vt:lpstr>
    </vt:vector>
  </TitlesOfParts>
  <Company>City of Santa Clarita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Ronil Santa Ana</dc:creator>
  <cp:lastModifiedBy>Ronil Santa Ana</cp:lastModifiedBy>
  <cp:lastPrinted>2021-04-14T17:08:36Z</cp:lastPrinted>
  <dcterms:created xsi:type="dcterms:W3CDTF">2021-04-12T18:07:03Z</dcterms:created>
  <dcterms:modified xsi:type="dcterms:W3CDTF">2025-08-18T22:35:17Z</dcterms:modified>
</cp:coreProperties>
</file>