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HALL2\Dept\PW\ENGINEERING\DS_Fees\Fee_Calc_Sheets\2025-26\test\"/>
    </mc:Choice>
  </mc:AlternateContent>
  <xr:revisionPtr revIDLastSave="0" documentId="13_ncr:1_{32ABE9E7-8AEB-4E55-8419-5281E75DFB86}" xr6:coauthVersionLast="36" xr6:coauthVersionMax="36" xr10:uidLastSave="{00000000-0000-0000-0000-000000000000}"/>
  <workbookProtection workbookAlgorithmName="SHA-512" workbookHashValue="3fR4d5oTZRlTlzXKObCG9T6cPEdH2Y6RRSqzIxjUkme5LuvUk/ECv60IP+2hetItjMmgtUVPEa5kAMiJQDShIQ==" workbookSaltValue="PV0BYgphEwXwPmjjG7bTLQ==" workbookSpinCount="100000" lockStructure="1"/>
  <bookViews>
    <workbookView xWindow="0" yWindow="0" windowWidth="28800" windowHeight="14025" xr2:uid="{F9424611-565E-42EA-9F6F-67A38BC44131}"/>
  </bookViews>
  <sheets>
    <sheet name="Grading Fee Calcs" sheetId="1" r:id="rId1"/>
    <sheet name="Table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1" i="2" l="1"/>
  <c r="E51" i="2"/>
  <c r="E50" i="2"/>
  <c r="S51" i="2"/>
  <c r="K16" i="1" l="1"/>
  <c r="A25" i="1" l="1"/>
  <c r="J23" i="2"/>
  <c r="J22" i="2"/>
  <c r="J10" i="2"/>
  <c r="D33" i="1"/>
  <c r="E33" i="1" s="1"/>
  <c r="G31" i="1"/>
  <c r="G30" i="1"/>
  <c r="F30" i="1"/>
  <c r="D30" i="1"/>
  <c r="H30" i="1" s="1"/>
  <c r="G29" i="1"/>
  <c r="F29" i="1"/>
  <c r="D29" i="1"/>
  <c r="H29" i="1" s="1"/>
  <c r="G28" i="1"/>
  <c r="G27" i="1"/>
  <c r="D26" i="1"/>
  <c r="H26" i="1" s="1"/>
  <c r="E26" i="1" l="1"/>
  <c r="E30" i="1"/>
  <c r="H33" i="1"/>
  <c r="E29" i="1"/>
  <c r="A18" i="1"/>
  <c r="C12" i="1"/>
  <c r="D84" i="2"/>
  <c r="D83" i="2"/>
  <c r="D82" i="2"/>
  <c r="J24" i="2"/>
  <c r="J11" i="2"/>
  <c r="J12" i="2" s="1"/>
  <c r="I50" i="2" l="1"/>
  <c r="I34" i="2"/>
  <c r="N50" i="2"/>
  <c r="I53" i="2" s="1"/>
  <c r="N34" i="2"/>
  <c r="I37" i="2" s="1"/>
  <c r="M50" i="2"/>
  <c r="M34" i="2"/>
  <c r="L50" i="2"/>
  <c r="L34" i="2"/>
  <c r="K50" i="2"/>
  <c r="I52" i="2" s="1"/>
  <c r="K34" i="2"/>
  <c r="I36" i="2" s="1"/>
  <c r="J50" i="2"/>
  <c r="J34" i="2"/>
  <c r="C55" i="2"/>
  <c r="C34" i="2"/>
  <c r="D14" i="2"/>
  <c r="B16" i="2" s="1"/>
  <c r="B55" i="2"/>
  <c r="B34" i="2"/>
  <c r="C14" i="2"/>
  <c r="G55" i="2"/>
  <c r="B58" i="2" s="1"/>
  <c r="G34" i="2"/>
  <c r="B37" i="2" s="1"/>
  <c r="B14" i="2"/>
  <c r="F55" i="2"/>
  <c r="F34" i="2"/>
  <c r="G14" i="2"/>
  <c r="B17" i="2" s="1"/>
  <c r="E55" i="2"/>
  <c r="E34" i="2"/>
  <c r="F14" i="2"/>
  <c r="D55" i="2"/>
  <c r="B57" i="2" s="1"/>
  <c r="D34" i="2"/>
  <c r="B36" i="2" s="1"/>
  <c r="E14" i="2"/>
  <c r="G34" i="1"/>
  <c r="D51" i="2"/>
  <c r="I54" i="2" l="1"/>
  <c r="I55" i="2" s="1"/>
  <c r="I56" i="2" s="1"/>
  <c r="F31" i="1" s="1"/>
  <c r="B38" i="2"/>
  <c r="B39" i="2" s="1"/>
  <c r="B40" i="2" s="1"/>
  <c r="B59" i="2"/>
  <c r="B60" i="2" s="1"/>
  <c r="B61" i="2" s="1"/>
  <c r="K15" i="1" s="1"/>
  <c r="B18" i="2"/>
  <c r="B19" i="2" s="1"/>
  <c r="B20" i="2" s="1"/>
  <c r="K12" i="2" s="1"/>
  <c r="I38" i="2"/>
  <c r="I39" i="2" s="1"/>
  <c r="I40" i="2" s="1"/>
  <c r="K20" i="1" l="1"/>
  <c r="H35" i="1"/>
  <c r="F27" i="1"/>
  <c r="K24" i="2"/>
  <c r="K27" i="1" s="1"/>
  <c r="F28" i="1" s="1"/>
  <c r="D31" i="1"/>
  <c r="E31" i="1" s="1"/>
  <c r="H31" i="1"/>
  <c r="D27" i="1"/>
  <c r="K26" i="1"/>
  <c r="D28" i="1" s="1"/>
  <c r="N12" i="1" l="1"/>
  <c r="E28" i="1"/>
  <c r="M12" i="1"/>
  <c r="D32" i="1" s="1"/>
  <c r="F33" i="1"/>
  <c r="H27" i="1"/>
  <c r="E27" i="1"/>
  <c r="H28" i="1"/>
  <c r="F32" i="1" l="1"/>
  <c r="F34" i="1" s="1"/>
  <c r="H32" i="1"/>
  <c r="H34" i="1" s="1"/>
  <c r="E32" i="1"/>
  <c r="E34" i="1" s="1"/>
  <c r="D34" i="1"/>
  <c r="K19" i="1" l="1"/>
  <c r="E36" i="1" s="1"/>
  <c r="K22" i="1"/>
  <c r="E35" i="1" s="1"/>
  <c r="K21" i="1" l="1"/>
</calcChain>
</file>

<file path=xl/sharedStrings.xml><?xml version="1.0" encoding="utf-8"?>
<sst xmlns="http://schemas.openxmlformats.org/spreadsheetml/2006/main" count="299" uniqueCount="115">
  <si>
    <t>Table 1 - Rough Grade Plan Review Fee</t>
  </si>
  <si>
    <t>Table 3 - Precise Grading Plan Review Fee</t>
  </si>
  <si>
    <t>RATE OF INCREASE</t>
  </si>
  <si>
    <t>Range</t>
  </si>
  <si>
    <t>Base Fee</t>
  </si>
  <si>
    <t>Fee Per</t>
  </si>
  <si>
    <t>Yardage</t>
  </si>
  <si>
    <t>Over</t>
  </si>
  <si>
    <t>Project Type</t>
  </si>
  <si>
    <t>Fee</t>
  </si>
  <si>
    <t>Per</t>
  </si>
  <si>
    <t>Single lot residential</t>
  </si>
  <si>
    <t>disturbed AC</t>
  </si>
  <si>
    <t>Subdivision &lt; 5 lots</t>
  </si>
  <si>
    <t>Tracts</t>
  </si>
  <si>
    <t>Non-residential</t>
  </si>
  <si>
    <t>Applicable Data</t>
  </si>
  <si>
    <t>Quantity</t>
  </si>
  <si>
    <t>Rate</t>
  </si>
  <si>
    <t>Applicable Data from Table</t>
  </si>
  <si>
    <t>Table X - Precise Grading Inspection Fee</t>
  </si>
  <si>
    <t>Range Based Fee</t>
  </si>
  <si>
    <t>Overage</t>
  </si>
  <si>
    <t>Overage Quantity</t>
  </si>
  <si>
    <t>Overage Fee</t>
  </si>
  <si>
    <t>Total Fee</t>
  </si>
  <si>
    <t>Table 2 - Rough Grade Inspection Fee</t>
  </si>
  <si>
    <t>Table X - Stock Pile Plan Review Fee</t>
  </si>
  <si>
    <t>Table 8 - Soils Review Plan Check Fee</t>
  </si>
  <si>
    <t>Table X - Stockpile Inspection Fee</t>
  </si>
  <si>
    <t>Type of Plan</t>
  </si>
  <si>
    <t>Minor (single lot development &amp; subdivisions &lt; 5 lots)</t>
  </si>
  <si>
    <t>Major (all others)</t>
  </si>
  <si>
    <t>Table X - Grading Bond</t>
  </si>
  <si>
    <t>Dollar limit, under which grading bond not req'd</t>
  </si>
  <si>
    <t>Table X - Erosion Control Plan Check Fee</t>
  </si>
  <si>
    <t>Table X - Over-Excavation Inspection Fee</t>
  </si>
  <si>
    <t>Over-Excavation Inspection Fee</t>
  </si>
  <si>
    <t>of Grading Plan Review Fee</t>
  </si>
  <si>
    <t>Table X - Erosion Control Inspection Fee</t>
  </si>
  <si>
    <t>Table X - Drainage Plan Inspection Fee</t>
  </si>
  <si>
    <t>Drainage Plan Inspection Fee</t>
  </si>
  <si>
    <t>of Grading  Inspection Fee</t>
  </si>
  <si>
    <t>Table X - Over-Excavation Plan Check Fee</t>
  </si>
  <si>
    <t>Per Plan Review</t>
  </si>
  <si>
    <t>Table X - SWPPP Plan Check Fee</t>
  </si>
  <si>
    <t>Table X - Drainage Plan Check Fee</t>
  </si>
  <si>
    <t>Minor Plan</t>
  </si>
  <si>
    <t>Table X - SWPPP Inspection Fee</t>
  </si>
  <si>
    <t>Major Plan</t>
  </si>
  <si>
    <t>Table X - Expedite Fee</t>
  </si>
  <si>
    <t>Table X - USMP Plan Check Fee</t>
  </si>
  <si>
    <t>Increase in Plan Review Fee to Expedite</t>
  </si>
  <si>
    <t>Deposit: Actual fee is based on time spent</t>
  </si>
  <si>
    <t>Table X - USMP Inspection Fee</t>
  </si>
  <si>
    <t>Plan Type</t>
  </si>
  <si>
    <t>Permit Issuance Fee</t>
  </si>
  <si>
    <t>Records Management</t>
  </si>
  <si>
    <t>Soils Report</t>
  </si>
  <si>
    <t>of review fee</t>
  </si>
  <si>
    <t>Bond Processing Fee</t>
  </si>
  <si>
    <t>Rough Grading Plan</t>
  </si>
  <si>
    <t>Initial</t>
  </si>
  <si>
    <t>Precise Grading Plan</t>
  </si>
  <si>
    <t>Annual Renewal</t>
  </si>
  <si>
    <t>Over-Excavation Plan</t>
  </si>
  <si>
    <t>Drainage Plan</t>
  </si>
  <si>
    <t>Stockpile Plan</t>
  </si>
  <si>
    <t>Erosion Control Plan</t>
  </si>
  <si>
    <t>SWPPP</t>
  </si>
  <si>
    <t>USMP</t>
  </si>
  <si>
    <t>City of Santa Clarita</t>
  </si>
  <si>
    <t>Department of Public Works - Engineering Services Division - Grading Fee and Bond Calculations</t>
  </si>
  <si>
    <t>ENG #: ________________ GRA#: _________________</t>
  </si>
  <si>
    <t>DATA from Button Selections</t>
  </si>
  <si>
    <t>Step 1: Select the Type of Plan to be submitted</t>
  </si>
  <si>
    <t>Step 4: Enter Earthwork Quantities</t>
  </si>
  <si>
    <t>Step 5: Enter Size of Project</t>
  </si>
  <si>
    <t>Cut (CY)</t>
  </si>
  <si>
    <t>Gross Area of Parcel(s) (Acres)</t>
  </si>
  <si>
    <t>Type of Plan being Submitted</t>
  </si>
  <si>
    <t>Fill (CY)</t>
  </si>
  <si>
    <t>Disturbed Area (Acres)</t>
  </si>
  <si>
    <t>Type of Precise Grading Plan</t>
  </si>
  <si>
    <t>Over-Ex (CY)</t>
  </si>
  <si>
    <t># of Lots or Units if Applicable</t>
  </si>
  <si>
    <t>Soils Report Type</t>
  </si>
  <si>
    <t>swppp</t>
  </si>
  <si>
    <t>Total (CY)</t>
  </si>
  <si>
    <t>USMP is Required</t>
  </si>
  <si>
    <t>Expedite Fees</t>
  </si>
  <si>
    <t>Step 6: Enter Drainage Device Cost Estimate</t>
  </si>
  <si>
    <t>Drainage Device Cost Estimate ($) - Attach Separate Estimate</t>
  </si>
  <si>
    <t>Bond Amount</t>
  </si>
  <si>
    <t>Bond Limit</t>
  </si>
  <si>
    <t>Step 7: Click here if USMP and SWPPP are applicable</t>
  </si>
  <si>
    <t>FEE</t>
  </si>
  <si>
    <t>Step 8: Click here to pay expedited Fees</t>
  </si>
  <si>
    <t>BOND PROCESSING</t>
  </si>
  <si>
    <t>fee at submittal</t>
  </si>
  <si>
    <t>Engineering Services Fees</t>
  </si>
  <si>
    <t>Plan Check</t>
  </si>
  <si>
    <t>Expedite</t>
  </si>
  <si>
    <t>Inspect</t>
  </si>
  <si>
    <t>Permit</t>
  </si>
  <si>
    <t>Step 3: Select Type of Soils Report, if Applicable</t>
  </si>
  <si>
    <t>Fee Subtotal</t>
  </si>
  <si>
    <t>Bond Processing Fee is $275</t>
  </si>
  <si>
    <t>Req'd fee at submittal</t>
  </si>
  <si>
    <t>Bond Annual Renewal Fee is $200</t>
  </si>
  <si>
    <t>Fee Total:</t>
  </si>
  <si>
    <t>PROJECT NAME : ________________________________________</t>
  </si>
  <si>
    <t>STREET ADDRESS: ________________________________</t>
  </si>
  <si>
    <t>Professional Engineer to Print, Sign, Seal,                                                               and attach Drainage Device Cost Estimate</t>
  </si>
  <si>
    <t>(updated fees effective on 08/25/2025)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</si>
</sst>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&quot;$&quot;* #,##0_);_(&quot;$&quot;* \(#,##0\);_(&quot;$&quot;* &quot;-&quot;??_);_(@_)"/>
    <numFmt numFmtId="167" formatCode="0.0%"/>
    <numFmt numFmtId="168" formatCode="[$$-409]#,##0_);\([$$-409]#,##0\)"/>
    <numFmt numFmtId="169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color rgb="FF000000"/>
      <name val="Tahoma"/>
      <family val="2"/>
    </font>
    <font>
      <b/>
      <sz val="12"/>
      <name val="Arial"/>
      <family val="2"/>
    </font>
    <font>
      <b/>
      <i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CEC8A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164">
    <xf numFmtId="0" fontId="0" fillId="0" borderId="0" xfId="0"/>
    <xf numFmtId="0" fontId="5" fillId="3" borderId="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164" fontId="7" fillId="4" borderId="0" xfId="0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10" fontId="0" fillId="0" borderId="0" xfId="3" applyNumberFormat="1" applyFont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/>
    </xf>
    <xf numFmtId="165" fontId="7" fillId="4" borderId="0" xfId="0" applyNumberFormat="1" applyFont="1" applyFill="1" applyBorder="1" applyAlignment="1">
      <alignment vertical="center"/>
    </xf>
    <xf numFmtId="3" fontId="7" fillId="0" borderId="0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8" fontId="6" fillId="0" borderId="11" xfId="0" applyNumberFormat="1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165" fontId="7" fillId="4" borderId="0" xfId="0" applyNumberFormat="1" applyFont="1" applyFill="1" applyBorder="1" applyAlignment="1">
      <alignment horizontal="right" vertical="center"/>
    </xf>
    <xf numFmtId="1" fontId="6" fillId="0" borderId="12" xfId="0" applyNumberFormat="1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4" fontId="6" fillId="4" borderId="0" xfId="0" applyNumberFormat="1" applyFont="1" applyFill="1" applyBorder="1" applyAlignment="1">
      <alignment vertical="center"/>
    </xf>
    <xf numFmtId="0" fontId="6" fillId="0" borderId="13" xfId="0" applyFont="1" applyBorder="1" applyAlignment="1">
      <alignment horizontal="left" vertical="center"/>
    </xf>
    <xf numFmtId="164" fontId="7" fillId="4" borderId="14" xfId="0" applyNumberFormat="1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164" fontId="6" fillId="4" borderId="14" xfId="0" applyNumberFormat="1" applyFont="1" applyFill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0" fontId="0" fillId="0" borderId="0" xfId="0" applyBorder="1"/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65" fontId="7" fillId="4" borderId="14" xfId="0" applyNumberFormat="1" applyFont="1" applyFill="1" applyBorder="1" applyAlignment="1">
      <alignment horizontal="right" vertical="center"/>
    </xf>
    <xf numFmtId="3" fontId="6" fillId="0" borderId="14" xfId="0" applyNumberFormat="1" applyFont="1" applyBorder="1" applyAlignment="1">
      <alignment horizontal="center" vertical="center"/>
    </xf>
    <xf numFmtId="3" fontId="6" fillId="0" borderId="15" xfId="0" applyNumberFormat="1" applyFont="1" applyBorder="1" applyAlignment="1">
      <alignment vertical="center"/>
    </xf>
    <xf numFmtId="6" fontId="0" fillId="0" borderId="0" xfId="0" applyNumberFormat="1" applyBorder="1"/>
    <xf numFmtId="0" fontId="0" fillId="0" borderId="0" xfId="0" applyFill="1" applyBorder="1"/>
    <xf numFmtId="6" fontId="0" fillId="0" borderId="0" xfId="0" applyNumberFormat="1"/>
    <xf numFmtId="8" fontId="0" fillId="0" borderId="0" xfId="0" applyNumberFormat="1"/>
    <xf numFmtId="164" fontId="6" fillId="0" borderId="0" xfId="0" applyNumberFormat="1" applyFont="1" applyBorder="1" applyAlignment="1">
      <alignment vertical="center"/>
    </xf>
    <xf numFmtId="165" fontId="7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vertical="center"/>
    </xf>
    <xf numFmtId="165" fontId="0" fillId="0" borderId="0" xfId="0" applyNumberFormat="1" applyBorder="1"/>
    <xf numFmtId="0" fontId="6" fillId="0" borderId="0" xfId="0" applyFont="1" applyBorder="1" applyAlignment="1">
      <alignment horizontal="left" vertical="center"/>
    </xf>
    <xf numFmtId="3" fontId="0" fillId="0" borderId="0" xfId="0" applyNumberFormat="1" applyBorder="1"/>
    <xf numFmtId="4" fontId="0" fillId="0" borderId="0" xfId="0" applyNumberFormat="1" applyBorder="1"/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164" fontId="6" fillId="0" borderId="14" xfId="0" applyNumberFormat="1" applyFont="1" applyFill="1" applyBorder="1" applyAlignment="1">
      <alignment vertical="center"/>
    </xf>
    <xf numFmtId="165" fontId="7" fillId="0" borderId="14" xfId="0" applyNumberFormat="1" applyFont="1" applyFill="1" applyBorder="1" applyAlignment="1">
      <alignment horizontal="right" vertical="center"/>
    </xf>
    <xf numFmtId="0" fontId="6" fillId="0" borderId="15" xfId="0" applyFont="1" applyBorder="1" applyAlignment="1">
      <alignment vertical="center"/>
    </xf>
    <xf numFmtId="0" fontId="6" fillId="0" borderId="0" xfId="1" applyNumberFormat="1" applyFont="1" applyBorder="1" applyAlignment="1">
      <alignment horizontal="center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65" fontId="7" fillId="0" borderId="12" xfId="0" applyNumberFormat="1" applyFont="1" applyBorder="1" applyAlignment="1">
      <alignment horizontal="left" vertical="center"/>
    </xf>
    <xf numFmtId="164" fontId="7" fillId="4" borderId="17" xfId="0" applyNumberFormat="1" applyFont="1" applyFill="1" applyBorder="1" applyAlignment="1">
      <alignment vertical="center"/>
    </xf>
    <xf numFmtId="166" fontId="7" fillId="4" borderId="11" xfId="2" applyNumberFormat="1" applyFont="1" applyFill="1" applyBorder="1" applyAlignment="1">
      <alignment vertical="center"/>
    </xf>
    <xf numFmtId="165" fontId="7" fillId="0" borderId="13" xfId="0" applyNumberFormat="1" applyFont="1" applyBorder="1" applyAlignment="1">
      <alignment horizontal="left" vertical="center"/>
    </xf>
    <xf numFmtId="0" fontId="7" fillId="0" borderId="14" xfId="0" applyFont="1" applyBorder="1" applyAlignment="1">
      <alignment vertical="center"/>
    </xf>
    <xf numFmtId="164" fontId="7" fillId="4" borderId="15" xfId="0" applyNumberFormat="1" applyFont="1" applyFill="1" applyBorder="1" applyAlignment="1">
      <alignment vertical="center"/>
    </xf>
    <xf numFmtId="166" fontId="7" fillId="4" borderId="15" xfId="2" applyNumberFormat="1" applyFont="1" applyFill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64" fontId="7" fillId="0" borderId="14" xfId="0" applyNumberFormat="1" applyFont="1" applyBorder="1" applyAlignment="1">
      <alignment vertical="center"/>
    </xf>
    <xf numFmtId="3" fontId="7" fillId="0" borderId="14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166" fontId="1" fillId="4" borderId="2" xfId="2" applyNumberFormat="1" applyFont="1" applyFill="1" applyBorder="1"/>
    <xf numFmtId="0" fontId="0" fillId="0" borderId="3" xfId="0" applyBorder="1"/>
    <xf numFmtId="0" fontId="0" fillId="0" borderId="4" xfId="0" applyBorder="1"/>
    <xf numFmtId="2" fontId="6" fillId="0" borderId="0" xfId="0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9" fontId="0" fillId="4" borderId="2" xfId="0" applyNumberFormat="1" applyFill="1" applyBorder="1"/>
    <xf numFmtId="6" fontId="0" fillId="4" borderId="2" xfId="0" applyNumberFormat="1" applyFill="1" applyBorder="1"/>
    <xf numFmtId="0" fontId="0" fillId="0" borderId="18" xfId="0" applyBorder="1"/>
    <xf numFmtId="0" fontId="0" fillId="0" borderId="19" xfId="0" applyBorder="1"/>
    <xf numFmtId="6" fontId="0" fillId="4" borderId="20" xfId="0" applyNumberFormat="1" applyFill="1" applyBorder="1"/>
    <xf numFmtId="0" fontId="0" fillId="0" borderId="14" xfId="0" applyBorder="1"/>
    <xf numFmtId="0" fontId="0" fillId="0" borderId="15" xfId="0" applyBorder="1"/>
    <xf numFmtId="6" fontId="0" fillId="4" borderId="13" xfId="0" applyNumberFormat="1" applyFill="1" applyBorder="1"/>
    <xf numFmtId="0" fontId="0" fillId="0" borderId="7" xfId="0" applyFill="1" applyBorder="1" applyAlignment="1">
      <alignment horizontal="center" wrapText="1"/>
    </xf>
    <xf numFmtId="0" fontId="0" fillId="0" borderId="10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4" borderId="0" xfId="0" applyFill="1" applyBorder="1"/>
    <xf numFmtId="167" fontId="0" fillId="4" borderId="0" xfId="0" applyNumberFormat="1" applyFill="1" applyBorder="1"/>
    <xf numFmtId="0" fontId="0" fillId="0" borderId="11" xfId="0" applyBorder="1"/>
    <xf numFmtId="0" fontId="0" fillId="0" borderId="12" xfId="0" applyBorder="1" applyAlignment="1">
      <alignment horizontal="right"/>
    </xf>
    <xf numFmtId="44" fontId="0" fillId="4" borderId="0" xfId="2" applyFont="1" applyFill="1"/>
    <xf numFmtId="0" fontId="0" fillId="0" borderId="12" xfId="0" applyFill="1" applyBorder="1" applyAlignment="1">
      <alignment horizontal="right"/>
    </xf>
    <xf numFmtId="0" fontId="0" fillId="0" borderId="21" xfId="0" applyFill="1" applyBorder="1" applyAlignment="1">
      <alignment horizontal="right"/>
    </xf>
    <xf numFmtId="0" fontId="0" fillId="0" borderId="13" xfId="0" applyFill="1" applyBorder="1" applyAlignment="1">
      <alignment horizontal="right"/>
    </xf>
    <xf numFmtId="0" fontId="0" fillId="0" borderId="22" xfId="0" applyFill="1" applyBorder="1" applyAlignment="1">
      <alignment horizontal="right"/>
    </xf>
    <xf numFmtId="0" fontId="0" fillId="5" borderId="0" xfId="0" applyFill="1" applyBorder="1"/>
    <xf numFmtId="0" fontId="9" fillId="5" borderId="0" xfId="0" applyFont="1" applyFill="1" applyAlignment="1" applyProtection="1">
      <alignment horizontal="center" vertical="center"/>
    </xf>
    <xf numFmtId="0" fontId="0" fillId="0" borderId="0" xfId="0" applyBorder="1" applyAlignment="1"/>
    <xf numFmtId="2" fontId="2" fillId="2" borderId="1" xfId="4" applyNumberFormat="1" applyProtection="1">
      <protection locked="0"/>
    </xf>
    <xf numFmtId="0" fontId="0" fillId="0" borderId="0" xfId="0" applyBorder="1" applyAlignment="1">
      <alignment horizontal="right"/>
    </xf>
    <xf numFmtId="0" fontId="0" fillId="0" borderId="0" xfId="0" applyBorder="1" applyProtection="1">
      <protection locked="0"/>
    </xf>
    <xf numFmtId="0" fontId="0" fillId="0" borderId="0" xfId="0" applyFill="1" applyBorder="1" applyAlignment="1">
      <alignment horizontal="right"/>
    </xf>
    <xf numFmtId="0" fontId="0" fillId="0" borderId="23" xfId="0" applyBorder="1"/>
    <xf numFmtId="8" fontId="0" fillId="0" borderId="23" xfId="0" applyNumberFormat="1" applyFill="1" applyBorder="1" applyAlignment="1">
      <alignment horizontal="center" shrinkToFit="1"/>
    </xf>
    <xf numFmtId="168" fontId="2" fillId="2" borderId="1" xfId="4" applyNumberFormat="1" applyProtection="1">
      <protection locked="0"/>
    </xf>
    <xf numFmtId="168" fontId="0" fillId="0" borderId="0" xfId="0" applyNumberFormat="1" applyBorder="1"/>
    <xf numFmtId="168" fontId="11" fillId="0" borderId="0" xfId="0" applyNumberFormat="1" applyFont="1" applyFill="1" applyBorder="1"/>
    <xf numFmtId="8" fontId="0" fillId="0" borderId="0" xfId="0" applyNumberFormat="1" applyBorder="1"/>
    <xf numFmtId="8" fontId="0" fillId="0" borderId="0" xfId="0" applyNumberFormat="1" applyFill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0" fontId="0" fillId="0" borderId="24" xfId="0" applyBorder="1"/>
    <xf numFmtId="0" fontId="0" fillId="0" borderId="7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9" xfId="0" applyFill="1" applyBorder="1" applyAlignment="1">
      <alignment horizontal="center" wrapText="1"/>
    </xf>
    <xf numFmtId="0" fontId="0" fillId="0" borderId="25" xfId="0" applyBorder="1"/>
    <xf numFmtId="0" fontId="0" fillId="0" borderId="25" xfId="0" applyFill="1" applyBorder="1"/>
    <xf numFmtId="0" fontId="0" fillId="0" borderId="26" xfId="0" applyFill="1" applyBorder="1"/>
    <xf numFmtId="0" fontId="0" fillId="0" borderId="28" xfId="0" applyFill="1" applyBorder="1"/>
    <xf numFmtId="8" fontId="0" fillId="0" borderId="14" xfId="0" applyNumberFormat="1" applyBorder="1" applyAlignment="1">
      <alignment horizontal="center"/>
    </xf>
    <xf numFmtId="8" fontId="0" fillId="0" borderId="14" xfId="0" applyNumberFormat="1" applyFont="1" applyBorder="1" applyAlignment="1">
      <alignment horizontal="center"/>
    </xf>
    <xf numFmtId="8" fontId="0" fillId="0" borderId="15" xfId="0" applyNumberFormat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8" fontId="0" fillId="4" borderId="29" xfId="0" applyNumberFormat="1" applyFill="1" applyBorder="1" applyAlignment="1">
      <alignment horizontal="center"/>
    </xf>
    <xf numFmtId="0" fontId="3" fillId="0" borderId="2" xfId="0" applyFont="1" applyFill="1" applyBorder="1"/>
    <xf numFmtId="8" fontId="4" fillId="0" borderId="0" xfId="0" applyNumberFormat="1" applyFont="1" applyBorder="1" applyAlignment="1">
      <alignment horizontal="center" shrinkToFit="1"/>
    </xf>
    <xf numFmtId="8" fontId="4" fillId="0" borderId="0" xfId="0" applyNumberFormat="1" applyFont="1" applyFill="1" applyBorder="1" applyAlignment="1">
      <alignment horizontal="center" shrinkToFit="1"/>
    </xf>
    <xf numFmtId="44" fontId="4" fillId="0" borderId="0" xfId="2" applyFont="1" applyBorder="1" applyAlignment="1">
      <alignment horizontal="center" shrinkToFit="1"/>
    </xf>
    <xf numFmtId="8" fontId="4" fillId="0" borderId="11" xfId="0" applyNumberFormat="1" applyFont="1" applyFill="1" applyBorder="1" applyAlignment="1">
      <alignment horizontal="center" shrinkToFit="1"/>
    </xf>
    <xf numFmtId="8" fontId="4" fillId="0" borderId="27" xfId="0" applyNumberFormat="1" applyFont="1" applyFill="1" applyBorder="1" applyAlignment="1">
      <alignment horizontal="center" shrinkToFit="1"/>
    </xf>
    <xf numFmtId="8" fontId="4" fillId="0" borderId="6" xfId="0" applyNumberFormat="1" applyFont="1" applyFill="1" applyBorder="1" applyAlignment="1">
      <alignment horizontal="center" shrinkToFit="1"/>
    </xf>
    <xf numFmtId="8" fontId="4" fillId="0" borderId="6" xfId="0" applyNumberFormat="1" applyFont="1" applyBorder="1" applyAlignment="1">
      <alignment horizontal="center" shrinkToFit="1"/>
    </xf>
    <xf numFmtId="8" fontId="4" fillId="0" borderId="8" xfId="0" applyNumberFormat="1" applyFont="1" applyFill="1" applyBorder="1" applyAlignment="1">
      <alignment horizontal="center" shrinkToFit="1"/>
    </xf>
    <xf numFmtId="0" fontId="0" fillId="0" borderId="0" xfId="0" applyBorder="1" applyProtection="1"/>
    <xf numFmtId="0" fontId="0" fillId="0" borderId="23" xfId="0" applyBorder="1" applyProtection="1">
      <protection locked="0"/>
    </xf>
    <xf numFmtId="2" fontId="0" fillId="0" borderId="0" xfId="0" applyNumberFormat="1" applyBorder="1"/>
    <xf numFmtId="169" fontId="2" fillId="2" borderId="1" xfId="1" applyNumberFormat="1" applyFont="1" applyFill="1" applyBorder="1" applyProtection="1">
      <protection locked="0"/>
    </xf>
    <xf numFmtId="169" fontId="0" fillId="0" borderId="0" xfId="1" applyNumberFormat="1" applyFont="1" applyBorder="1"/>
    <xf numFmtId="0" fontId="12" fillId="0" borderId="0" xfId="0" applyFont="1" applyBorder="1" applyAlignment="1">
      <alignment horizontal="center"/>
    </xf>
    <xf numFmtId="169" fontId="0" fillId="0" borderId="0" xfId="1" applyNumberFormat="1" applyFont="1"/>
    <xf numFmtId="9" fontId="0" fillId="0" borderId="0" xfId="3" applyFont="1"/>
    <xf numFmtId="9" fontId="0" fillId="0" borderId="0" xfId="0" applyNumberFormat="1"/>
    <xf numFmtId="0" fontId="0" fillId="0" borderId="2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8" fontId="3" fillId="0" borderId="2" xfId="0" applyNumberFormat="1" applyFont="1" applyFill="1" applyBorder="1" applyAlignment="1">
      <alignment horizontal="center"/>
    </xf>
    <xf numFmtId="8" fontId="3" fillId="0" borderId="3" xfId="0" applyNumberFormat="1" applyFont="1" applyFill="1" applyBorder="1" applyAlignment="1">
      <alignment horizontal="center"/>
    </xf>
    <xf numFmtId="0" fontId="9" fillId="0" borderId="0" xfId="0" applyFont="1" applyAlignment="1" applyProtection="1">
      <alignment horizontal="center" vertical="center"/>
    </xf>
    <xf numFmtId="0" fontId="10" fillId="5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0" fillId="0" borderId="1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</cellXfs>
  <cellStyles count="5">
    <cellStyle name="Comma" xfId="1" builtinId="3"/>
    <cellStyle name="Currency" xfId="2" builtinId="4"/>
    <cellStyle name="Input" xfId="4" builtinId="20"/>
    <cellStyle name="Normal" xfId="0" builtinId="0"/>
    <cellStyle name="Percent" xfId="3" builtinId="5"/>
  </cellStyles>
  <dxfs count="2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$K$11" lockText="1" noThreeD="1"/>
</file>

<file path=xl/ctrlProps/ctrlProp10.xml><?xml version="1.0" encoding="utf-8"?>
<formControlPr xmlns="http://schemas.microsoft.com/office/spreadsheetml/2009/9/main" objectType="Radio" checked="Checked" firstButton="1" fmlaLink="$K$9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CheckBox" fmlaLink="$K$12" lockText="1" noThreeD="1"/>
</file>

<file path=xl/ctrlProps/ctrlProp17.xml><?xml version="1.0" encoding="utf-8"?>
<formControlPr xmlns="http://schemas.microsoft.com/office/spreadsheetml/2009/9/main" objectType="CheckBox" fmlaLink="$K$13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/>
</file>

<file path=xl/ctrlProps/ctrlProp5.xml><?xml version="1.0" encoding="utf-8"?>
<formControlPr xmlns="http://schemas.microsoft.com/office/spreadsheetml/2009/9/main" objectType="Radio" checked="Checked" firstButton="1" fmlaLink="$K$10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GBox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333375</xdr:colOff>
          <xdr:row>27</xdr:row>
          <xdr:rowOff>85725</xdr:rowOff>
        </xdr:from>
        <xdr:to>
          <xdr:col>1</xdr:col>
          <xdr:colOff>190500</xdr:colOff>
          <xdr:row>32</xdr:row>
          <xdr:rowOff>47625</xdr:rowOff>
        </xdr:to>
        <xdr:grpSp>
          <xdr:nvGrpSpPr>
            <xdr:cNvPr id="2" name="Group 5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33375" y="5381625"/>
              <a:ext cx="2647950" cy="914400"/>
              <a:chOff x="2895601" y="4010025"/>
              <a:chExt cx="2743200" cy="914400"/>
            </a:xfrm>
          </xdr:grpSpPr>
          <xdr:sp macro="" textlink="">
            <xdr:nvSpPr>
              <xdr:cNvPr id="1025" name="Option Button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2905125" y="4152900"/>
                <a:ext cx="264795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 Soils Report Required</a:t>
                </a:r>
              </a:p>
            </xdr:txBody>
          </xdr:sp>
          <xdr:sp macro="" textlink="">
            <xdr:nvSpPr>
              <xdr:cNvPr id="1026" name="Option Button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2905125" y="4371975"/>
                <a:ext cx="264795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Minor (single lot development or Subdivisions &lt;5 lots)</a:t>
                </a:r>
              </a:p>
            </xdr:txBody>
          </xdr:sp>
          <xdr:sp macro="" textlink="">
            <xdr:nvSpPr>
              <xdr:cNvPr id="1027" name="Option Button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2905125" y="4581525"/>
                <a:ext cx="2647950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Major (all others)</a:t>
                </a:r>
              </a:p>
            </xdr:txBody>
          </xdr:sp>
          <xdr:sp macro="" textlink="">
            <xdr:nvSpPr>
              <xdr:cNvPr id="1028" name="Group Box 4" descr="Select Soils Report if Applicable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2895601" y="4010025"/>
                <a:ext cx="2743200" cy="9144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333375</xdr:colOff>
          <xdr:row>18</xdr:row>
          <xdr:rowOff>95250</xdr:rowOff>
        </xdr:from>
        <xdr:to>
          <xdr:col>1</xdr:col>
          <xdr:colOff>190500</xdr:colOff>
          <xdr:row>23</xdr:row>
          <xdr:rowOff>19050</xdr:rowOff>
        </xdr:to>
        <xdr:grpSp>
          <xdr:nvGrpSpPr>
            <xdr:cNvPr id="7" name="Group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33375" y="3438525"/>
              <a:ext cx="2647950" cy="885825"/>
              <a:chOff x="333375" y="2571749"/>
              <a:chExt cx="2743200" cy="1076325"/>
            </a:xfrm>
          </xdr:grpSpPr>
          <xdr:sp macro="" textlink="">
            <xdr:nvSpPr>
              <xdr:cNvPr id="1029" name="Option Button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05040000}"/>
                  </a:ext>
                </a:extLst>
              </xdr:cNvPr>
              <xdr:cNvSpPr/>
            </xdr:nvSpPr>
            <xdr:spPr bwMode="auto">
              <a:xfrm>
                <a:off x="342900" y="2715902"/>
                <a:ext cx="2647950" cy="22103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Single lot residential or subdivision &lt; 5 lots</a:t>
                </a:r>
              </a:p>
            </xdr:txBody>
          </xdr:sp>
          <xdr:sp macro="" textlink="">
            <xdr:nvSpPr>
              <xdr:cNvPr id="1030" name="Option Button 6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00000000-0008-0000-0000-000006040000}"/>
                  </a:ext>
                </a:extLst>
              </xdr:cNvPr>
              <xdr:cNvSpPr/>
            </xdr:nvSpPr>
            <xdr:spPr bwMode="auto">
              <a:xfrm>
                <a:off x="342900" y="2933728"/>
                <a:ext cx="2647950" cy="22103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Tract Map</a:t>
                </a:r>
              </a:p>
            </xdr:txBody>
          </xdr:sp>
          <xdr:sp macro="" textlink="">
            <xdr:nvSpPr>
              <xdr:cNvPr id="1031" name="Option Button 7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342900" y="3151554"/>
                <a:ext cx="2647950" cy="22103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Non-residential</a:t>
                </a:r>
              </a:p>
            </xdr:txBody>
          </xdr:sp>
          <xdr:sp macro="" textlink="">
            <xdr:nvSpPr>
              <xdr:cNvPr id="1032" name="Group Box 8" descr="Select Soils Report if Applicable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333375" y="2571749"/>
                <a:ext cx="2743200" cy="107632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1033" name="Option Button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342900" y="3369384"/>
                <a:ext cx="2286000" cy="22103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'N/A' - Not a Precise Grading Plan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333375</xdr:colOff>
          <xdr:row>9</xdr:row>
          <xdr:rowOff>47625</xdr:rowOff>
        </xdr:from>
        <xdr:to>
          <xdr:col>1</xdr:col>
          <xdr:colOff>95250</xdr:colOff>
          <xdr:row>10</xdr:row>
          <xdr:rowOff>76200</xdr:rowOff>
        </xdr:to>
        <xdr:sp macro="" textlink="">
          <xdr:nvSpPr>
            <xdr:cNvPr id="1034" name="Option Button 10" descr="Rough Grading Plan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Rough Grade Plan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333375</xdr:colOff>
          <xdr:row>10</xdr:row>
          <xdr:rowOff>47625</xdr:rowOff>
        </xdr:from>
        <xdr:to>
          <xdr:col>1</xdr:col>
          <xdr:colOff>95250</xdr:colOff>
          <xdr:row>11</xdr:row>
          <xdr:rowOff>76200</xdr:rowOff>
        </xdr:to>
        <xdr:sp macro="" textlink="">
          <xdr:nvSpPr>
            <xdr:cNvPr id="1035" name="Option Button 11" descr="None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Precise Grading Plan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333375</xdr:colOff>
          <xdr:row>11</xdr:row>
          <xdr:rowOff>57150</xdr:rowOff>
        </xdr:from>
        <xdr:to>
          <xdr:col>1</xdr:col>
          <xdr:colOff>95250</xdr:colOff>
          <xdr:row>12</xdr:row>
          <xdr:rowOff>85725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Over-Excavation Plan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333375</xdr:colOff>
          <xdr:row>8</xdr:row>
          <xdr:rowOff>95250</xdr:rowOff>
        </xdr:from>
        <xdr:to>
          <xdr:col>1</xdr:col>
          <xdr:colOff>190500</xdr:colOff>
          <xdr:row>16</xdr:row>
          <xdr:rowOff>95250</xdr:rowOff>
        </xdr:to>
        <xdr:sp macro="" textlink="">
          <xdr:nvSpPr>
            <xdr:cNvPr id="1037" name="Group Box 13" descr="Select Soils Report if Applicable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333375</xdr:colOff>
          <xdr:row>12</xdr:row>
          <xdr:rowOff>57150</xdr:rowOff>
        </xdr:from>
        <xdr:to>
          <xdr:col>1</xdr:col>
          <xdr:colOff>95250</xdr:colOff>
          <xdr:row>13</xdr:row>
          <xdr:rowOff>85725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Drainage Plan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333375</xdr:colOff>
          <xdr:row>13</xdr:row>
          <xdr:rowOff>66675</xdr:rowOff>
        </xdr:from>
        <xdr:to>
          <xdr:col>1</xdr:col>
          <xdr:colOff>95250</xdr:colOff>
          <xdr:row>14</xdr:row>
          <xdr:rowOff>95250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Stockpile Plan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17</xdr:row>
          <xdr:rowOff>28575</xdr:rowOff>
        </xdr:from>
        <xdr:to>
          <xdr:col>3</xdr:col>
          <xdr:colOff>361950</xdr:colOff>
          <xdr:row>18</xdr:row>
          <xdr:rowOff>57150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USMP Required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20</xdr:row>
          <xdr:rowOff>19050</xdr:rowOff>
        </xdr:from>
        <xdr:to>
          <xdr:col>3</xdr:col>
          <xdr:colOff>571500</xdr:colOff>
          <xdr:row>21</xdr:row>
          <xdr:rowOff>76200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Pay Expedited Fees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39F22-BB95-42BE-B75C-90A6733D5C9C}">
  <sheetPr codeName="Sheet1"/>
  <dimension ref="A1:O37"/>
  <sheetViews>
    <sheetView tabSelected="1" zoomScaleNormal="100" workbookViewId="0">
      <selection activeCell="C10" sqref="C10"/>
    </sheetView>
  </sheetViews>
  <sheetFormatPr defaultRowHeight="15" x14ac:dyDescent="0.25"/>
  <cols>
    <col min="1" max="1" width="41.85546875" style="38" customWidth="1"/>
    <col min="2" max="2" width="4.85546875" style="38" customWidth="1"/>
    <col min="3" max="3" width="20" style="38" bestFit="1" customWidth="1"/>
    <col min="4" max="4" width="11.7109375" style="38" customWidth="1"/>
    <col min="5" max="6" width="11" style="38" customWidth="1"/>
    <col min="7" max="7" width="9.7109375" style="38" customWidth="1"/>
    <col min="8" max="8" width="14.42578125" style="38" customWidth="1"/>
    <col min="9" max="9" width="15.140625" style="38" customWidth="1"/>
    <col min="10" max="10" width="27.5703125" style="38" hidden="1" customWidth="1"/>
    <col min="11" max="11" width="11.140625" style="38" hidden="1" customWidth="1"/>
    <col min="12" max="13" width="9.140625" style="38" hidden="1" customWidth="1"/>
    <col min="14" max="14" width="10.28515625" style="38" hidden="1" customWidth="1"/>
    <col min="15" max="16384" width="9.140625" style="38"/>
  </cols>
  <sheetData>
    <row r="1" spans="1:14" ht="15.75" x14ac:dyDescent="0.25">
      <c r="A1" s="155" t="s">
        <v>71</v>
      </c>
      <c r="B1" s="155"/>
      <c r="C1" s="155"/>
      <c r="D1" s="155"/>
      <c r="E1" s="155"/>
      <c r="F1" s="155"/>
      <c r="G1" s="155"/>
      <c r="H1" s="155"/>
    </row>
    <row r="2" spans="1:14" ht="15.75" x14ac:dyDescent="0.25">
      <c r="A2" s="155" t="s">
        <v>72</v>
      </c>
      <c r="B2" s="155"/>
      <c r="C2" s="155"/>
      <c r="D2" s="155"/>
      <c r="E2" s="155"/>
      <c r="F2" s="155"/>
      <c r="G2" s="155"/>
      <c r="H2" s="155"/>
    </row>
    <row r="3" spans="1:14" ht="15.75" x14ac:dyDescent="0.25">
      <c r="A3" s="155" t="s">
        <v>114</v>
      </c>
      <c r="B3" s="155"/>
      <c r="C3" s="155"/>
      <c r="D3" s="155"/>
      <c r="E3" s="155"/>
      <c r="F3" s="155"/>
      <c r="G3" s="155"/>
      <c r="H3" s="155"/>
    </row>
    <row r="4" spans="1:14" ht="15.75" x14ac:dyDescent="0.25">
      <c r="A4" s="102" t="s">
        <v>111</v>
      </c>
      <c r="B4" s="103"/>
      <c r="C4" s="156" t="s">
        <v>113</v>
      </c>
      <c r="D4" s="156"/>
      <c r="E4" s="156"/>
      <c r="F4" s="156"/>
      <c r="G4" s="156"/>
      <c r="H4" s="156"/>
    </row>
    <row r="5" spans="1:14" ht="15.75" x14ac:dyDescent="0.25">
      <c r="A5" s="102" t="s">
        <v>112</v>
      </c>
      <c r="B5" s="103"/>
      <c r="C5" s="156"/>
      <c r="D5" s="156"/>
      <c r="E5" s="156"/>
      <c r="F5" s="156"/>
      <c r="G5" s="156"/>
      <c r="H5" s="156"/>
    </row>
    <row r="6" spans="1:14" x14ac:dyDescent="0.25">
      <c r="A6" s="102" t="s">
        <v>73</v>
      </c>
      <c r="B6" s="102"/>
      <c r="C6" s="156"/>
      <c r="D6" s="156"/>
      <c r="E6" s="156"/>
      <c r="F6" s="156"/>
      <c r="G6" s="156"/>
      <c r="H6" s="156"/>
      <c r="J6" s="104" t="s">
        <v>74</v>
      </c>
      <c r="K6" s="104"/>
    </row>
    <row r="7" spans="1:14" ht="5.0999999999999996" customHeight="1" x14ac:dyDescent="0.25">
      <c r="J7" s="104"/>
      <c r="K7" s="104"/>
    </row>
    <row r="8" spans="1:14" x14ac:dyDescent="0.25">
      <c r="A8" s="38" t="s">
        <v>75</v>
      </c>
      <c r="C8" t="s">
        <v>76</v>
      </c>
      <c r="E8" s="38" t="s">
        <v>77</v>
      </c>
    </row>
    <row r="9" spans="1:14" x14ac:dyDescent="0.25">
      <c r="C9" s="143"/>
      <c r="D9" t="s">
        <v>78</v>
      </c>
      <c r="E9" s="105"/>
      <c r="F9" t="s">
        <v>79</v>
      </c>
      <c r="J9" s="106" t="s">
        <v>80</v>
      </c>
      <c r="K9" s="107">
        <v>1</v>
      </c>
    </row>
    <row r="10" spans="1:14" x14ac:dyDescent="0.25">
      <c r="C10" s="143"/>
      <c r="D10" t="s">
        <v>81</v>
      </c>
      <c r="E10" s="105"/>
      <c r="F10" t="s">
        <v>82</v>
      </c>
      <c r="J10" s="106" t="s">
        <v>83</v>
      </c>
      <c r="K10" s="107">
        <v>1</v>
      </c>
    </row>
    <row r="11" spans="1:14" x14ac:dyDescent="0.25">
      <c r="C11" s="143"/>
      <c r="D11" t="s">
        <v>84</v>
      </c>
      <c r="E11" s="105"/>
      <c r="F11" t="s">
        <v>85</v>
      </c>
      <c r="J11" s="106" t="s">
        <v>86</v>
      </c>
      <c r="K11" s="107">
        <v>2</v>
      </c>
      <c r="L11" s="149" t="s">
        <v>87</v>
      </c>
      <c r="M11" s="149"/>
      <c r="N11" s="149"/>
    </row>
    <row r="12" spans="1:14" x14ac:dyDescent="0.25">
      <c r="C12" s="144">
        <f>MAX(C9:C10)+C11</f>
        <v>0</v>
      </c>
      <c r="D12" s="38" t="s">
        <v>88</v>
      </c>
      <c r="J12" s="108" t="s">
        <v>89</v>
      </c>
      <c r="K12" s="107" t="b">
        <v>0</v>
      </c>
      <c r="L12" s="141" t="b">
        <v>1</v>
      </c>
      <c r="M12" s="110">
        <f>IF(E10&gt;=1,MAX(D27:D31)*Tables!I65,0)</f>
        <v>0</v>
      </c>
      <c r="N12" s="109">
        <f>IF(E10&gt;=1,MAX(F27:F31)*Tables!I68,0)</f>
        <v>0</v>
      </c>
    </row>
    <row r="13" spans="1:14" x14ac:dyDescent="0.25">
      <c r="J13" s="108" t="s">
        <v>90</v>
      </c>
      <c r="K13" s="107" t="b">
        <v>0</v>
      </c>
    </row>
    <row r="14" spans="1:14" x14ac:dyDescent="0.25">
      <c r="C14" s="38" t="s">
        <v>91</v>
      </c>
      <c r="J14" s="108"/>
      <c r="K14" s="44"/>
    </row>
    <row r="15" spans="1:14" x14ac:dyDescent="0.25">
      <c r="C15" s="111"/>
      <c r="D15" s="38" t="s">
        <v>92</v>
      </c>
      <c r="J15" s="108" t="s">
        <v>93</v>
      </c>
      <c r="K15" s="112">
        <f>Tables!B61+C15</f>
        <v>0</v>
      </c>
    </row>
    <row r="16" spans="1:14" x14ac:dyDescent="0.25">
      <c r="J16" s="108" t="s">
        <v>94</v>
      </c>
      <c r="K16" s="113">
        <f>Tables!B52</f>
        <v>20000</v>
      </c>
    </row>
    <row r="17" spans="1:15" x14ac:dyDescent="0.25">
      <c r="C17" s="38" t="s">
        <v>95</v>
      </c>
      <c r="O17" s="44"/>
    </row>
    <row r="18" spans="1:15" x14ac:dyDescent="0.25">
      <c r="A18" s="38" t="str">
        <f>IF(K9=2,"Step 2: Select the type of Precise Grade Plan","Step 2: Select 'N/A' if not Precise Grade Plan")</f>
        <v>Step 2: Select 'N/A' if not Precise Grade Plan</v>
      </c>
      <c r="C18" s="140"/>
      <c r="D18" s="140"/>
      <c r="E18" s="140"/>
      <c r="F18" s="140"/>
    </row>
    <row r="19" spans="1:15" x14ac:dyDescent="0.25">
      <c r="C19" s="140"/>
      <c r="D19" s="140"/>
      <c r="E19" s="140"/>
      <c r="F19" s="140"/>
      <c r="J19" s="38" t="s">
        <v>96</v>
      </c>
      <c r="K19" s="114">
        <f>SUM(D34:H34)</f>
        <v>783.1</v>
      </c>
    </row>
    <row r="20" spans="1:15" x14ac:dyDescent="0.25">
      <c r="C20" s="38" t="s">
        <v>97</v>
      </c>
      <c r="J20" s="45" t="s">
        <v>98</v>
      </c>
      <c r="K20" s="38">
        <f>IF(K15&lt;K16,0,Tables!I77)</f>
        <v>0</v>
      </c>
    </row>
    <row r="21" spans="1:15" x14ac:dyDescent="0.25">
      <c r="G21" s="115"/>
      <c r="K21" s="114">
        <f>SUM(K19:K20)</f>
        <v>783.1</v>
      </c>
    </row>
    <row r="22" spans="1:15" x14ac:dyDescent="0.25">
      <c r="J22" s="38" t="s">
        <v>99</v>
      </c>
      <c r="K22" s="114">
        <f>D34+E34+H34+K20</f>
        <v>727.1</v>
      </c>
    </row>
    <row r="23" spans="1:15" ht="15.75" thickBot="1" x14ac:dyDescent="0.3"/>
    <row r="24" spans="1:15" ht="17.25" thickTop="1" thickBot="1" x14ac:dyDescent="0.3">
      <c r="A24" s="145"/>
      <c r="C24" s="150" t="s">
        <v>100</v>
      </c>
      <c r="D24" s="151"/>
      <c r="E24" s="151"/>
      <c r="F24" s="151"/>
      <c r="G24" s="151"/>
      <c r="H24" s="152"/>
    </row>
    <row r="25" spans="1:15" ht="30.75" thickTop="1" x14ac:dyDescent="0.25">
      <c r="A25" s="116" t="str">
        <f>IF(AND(K9=2,K10=4),"ERROR: YOU MUST SELECT THE TYPE OF PRECISE GRADE PLAN IN STEP 2 ABOVE","")</f>
        <v/>
      </c>
      <c r="C25" s="117" t="s">
        <v>55</v>
      </c>
      <c r="D25" s="118" t="s">
        <v>101</v>
      </c>
      <c r="E25" s="118" t="s">
        <v>102</v>
      </c>
      <c r="F25" s="118" t="s">
        <v>103</v>
      </c>
      <c r="G25" s="119" t="s">
        <v>104</v>
      </c>
      <c r="H25" s="120" t="s">
        <v>57</v>
      </c>
    </row>
    <row r="26" spans="1:15" x14ac:dyDescent="0.25">
      <c r="C26" s="121" t="s">
        <v>58</v>
      </c>
      <c r="D26" s="132">
        <f>IF(K11=3,Tables!G45,IF(K11=2,Tables!G44,0))</f>
        <v>661</v>
      </c>
      <c r="E26" s="133">
        <f>IF($K$13,D26*Tables!B71,0)</f>
        <v>0</v>
      </c>
      <c r="F26" s="134"/>
      <c r="G26" s="132"/>
      <c r="H26" s="135">
        <f>IF(K11=1,0,Tables!E76*D26)</f>
        <v>66.100000000000009</v>
      </c>
      <c r="K26" s="38">
        <f>IF((AND(K9=2,K10=2)),Tables!J12,Tables!K12)</f>
        <v>0</v>
      </c>
    </row>
    <row r="27" spans="1:15" x14ac:dyDescent="0.25">
      <c r="A27" s="38" t="s">
        <v>105</v>
      </c>
      <c r="C27" s="121" t="s">
        <v>61</v>
      </c>
      <c r="D27" s="132">
        <f>IF(K9=1,Tables!B20,0)</f>
        <v>0</v>
      </c>
      <c r="E27" s="133">
        <f>IF($K$13,D27*Tables!B71,0)</f>
        <v>0</v>
      </c>
      <c r="F27" s="132">
        <f>IF(K9=1,Tables!B40,0)</f>
        <v>0</v>
      </c>
      <c r="G27" s="133">
        <f>IF(K9=1,Tables!D77,0)</f>
        <v>56</v>
      </c>
      <c r="H27" s="135">
        <f>IF(K9=1,D27*Tables!E77,0)</f>
        <v>0</v>
      </c>
      <c r="K27" s="38">
        <f>IF((AND(K9=2,K10=2)),Tables!J24,Tables!K24)</f>
        <v>0</v>
      </c>
    </row>
    <row r="28" spans="1:15" x14ac:dyDescent="0.25">
      <c r="C28" s="122" t="s">
        <v>63</v>
      </c>
      <c r="D28" s="133">
        <f>IF(K9=2,K26,0)</f>
        <v>0</v>
      </c>
      <c r="E28" s="133">
        <f>IF($K$13,D28*Tables!B71,0)</f>
        <v>0</v>
      </c>
      <c r="F28" s="133">
        <f>IF(K9=2,K27,0)</f>
        <v>0</v>
      </c>
      <c r="G28" s="133">
        <f>IF(K9=2,Tables!D78,0)</f>
        <v>0</v>
      </c>
      <c r="H28" s="135">
        <f>IF(K9=2,D28*Tables!E78,0)</f>
        <v>0</v>
      </c>
    </row>
    <row r="29" spans="1:15" x14ac:dyDescent="0.25">
      <c r="C29" s="122" t="s">
        <v>65</v>
      </c>
      <c r="D29" s="133">
        <f>IF(K9=3,Tables!B64,0)</f>
        <v>0</v>
      </c>
      <c r="E29" s="133">
        <f>IF($K$13,D29*Tables!B71,0)</f>
        <v>0</v>
      </c>
      <c r="F29" s="133">
        <f>IF(K9=3,Tables!O59,0)</f>
        <v>0</v>
      </c>
      <c r="G29" s="133">
        <f>IF(K9=3,Tables!D79,0)</f>
        <v>0</v>
      </c>
      <c r="H29" s="135">
        <f>IF(K9=3,Tables!E79*D29,0)</f>
        <v>0</v>
      </c>
    </row>
    <row r="30" spans="1:15" x14ac:dyDescent="0.25">
      <c r="C30" s="122" t="s">
        <v>66</v>
      </c>
      <c r="D30" s="133">
        <f>IF(K9=4,Tables!B67,0)</f>
        <v>0</v>
      </c>
      <c r="E30" s="133">
        <f>IF($K$13,D30*Tables!B71,0)</f>
        <v>0</v>
      </c>
      <c r="F30" s="133">
        <f>IF(K9=4,Tables!O62,0)</f>
        <v>0</v>
      </c>
      <c r="G30" s="133">
        <f>IF(K9=4,Tables!D80,0)</f>
        <v>0</v>
      </c>
      <c r="H30" s="135">
        <f>IF(K9=4,Tables!E80*D30,0)</f>
        <v>0</v>
      </c>
    </row>
    <row r="31" spans="1:15" x14ac:dyDescent="0.25">
      <c r="C31" s="122" t="s">
        <v>67</v>
      </c>
      <c r="D31" s="133">
        <f>IF(K9=5,Tables!I40,IF(K9=6,Tables!B20,0))</f>
        <v>0</v>
      </c>
      <c r="E31" s="133">
        <f>IF($K$13,D31*Tables!B71,0)</f>
        <v>0</v>
      </c>
      <c r="F31" s="133">
        <f>IF(K9=5,Tables!I56,IF(K9=6,Tables!B40,0))</f>
        <v>0</v>
      </c>
      <c r="G31" s="133">
        <f>IF(OR(K9=5,K9=6),Tables!D81,0)</f>
        <v>0</v>
      </c>
      <c r="H31" s="135">
        <f>IF(OR(K9=5,K9=6),Tables!E81*Tables!I40,0)</f>
        <v>0</v>
      </c>
    </row>
    <row r="32" spans="1:15" x14ac:dyDescent="0.25">
      <c r="C32" s="122" t="s">
        <v>69</v>
      </c>
      <c r="D32" s="133">
        <f>IF(AND(K9=2,K10=2),0,M12)</f>
        <v>0</v>
      </c>
      <c r="E32" s="133">
        <f>IF($K$13,D32*Tables!B71,0)</f>
        <v>0</v>
      </c>
      <c r="F32" s="133">
        <f>IF(D32=0,0,N12)</f>
        <v>0</v>
      </c>
      <c r="G32" s="132"/>
      <c r="H32" s="135">
        <f>IF(E10&gt;=1,Tables!E83*D32,0)</f>
        <v>0</v>
      </c>
    </row>
    <row r="33" spans="1:8" x14ac:dyDescent="0.25">
      <c r="C33" s="123" t="s">
        <v>70</v>
      </c>
      <c r="D33" s="136">
        <f>IF(K12,Tables!I71,0)</f>
        <v>0</v>
      </c>
      <c r="E33" s="137">
        <f>IF($K$13,D33*Tables!B71,0)</f>
        <v>0</v>
      </c>
      <c r="F33" s="137">
        <f>IF(K12,MAX(F27:F31)*Tables!I74,0)</f>
        <v>0</v>
      </c>
      <c r="G33" s="138"/>
      <c r="H33" s="139">
        <f>IF(K12,Tables!E84*D33,0)</f>
        <v>0</v>
      </c>
    </row>
    <row r="34" spans="1:8" ht="15.75" thickBot="1" x14ac:dyDescent="0.3">
      <c r="C34" s="124" t="s">
        <v>106</v>
      </c>
      <c r="D34" s="125">
        <f>SUM(D26:D33)</f>
        <v>661</v>
      </c>
      <c r="E34" s="126">
        <f>SUM(E26:E33)</f>
        <v>0</v>
      </c>
      <c r="F34" s="125">
        <f>SUM(F26:F33)</f>
        <v>0</v>
      </c>
      <c r="G34" s="125">
        <f>SUM(G26:G33)</f>
        <v>56</v>
      </c>
      <c r="H34" s="127">
        <f>SUM(H26:H33)</f>
        <v>66.100000000000009</v>
      </c>
    </row>
    <row r="35" spans="1:8" ht="16.5" thickTop="1" thickBot="1" x14ac:dyDescent="0.3">
      <c r="A35" s="128" t="s">
        <v>107</v>
      </c>
      <c r="C35" s="129" t="s">
        <v>108</v>
      </c>
      <c r="D35" s="79"/>
      <c r="E35" s="130">
        <f>K22</f>
        <v>727.1</v>
      </c>
      <c r="F35" s="153" t="s">
        <v>93</v>
      </c>
      <c r="G35" s="154"/>
      <c r="H35" s="130">
        <f>IF(K15&lt;K16,0,K15)</f>
        <v>0</v>
      </c>
    </row>
    <row r="36" spans="1:8" ht="16.5" thickTop="1" thickBot="1" x14ac:dyDescent="0.3">
      <c r="A36" s="128" t="s">
        <v>109</v>
      </c>
      <c r="C36" s="131" t="s">
        <v>110</v>
      </c>
      <c r="D36" s="79"/>
      <c r="E36" s="130">
        <f>SUM(K19:K20)</f>
        <v>783.1</v>
      </c>
    </row>
    <row r="37" spans="1:8" ht="15.75" thickTop="1" x14ac:dyDescent="0.25"/>
  </sheetData>
  <sheetProtection algorithmName="SHA-512" hashValue="JC6I8cU2Hk8PFmJnk0pC0GLh6rzbmM65u7/0tp1ObXGh5pt3A8VUjK+VfgBNKYv+JpIjLGUQDsMsc96ZtLFrQw==" saltValue="bSPpODvGbpBpdpfmC5mwhg==" spinCount="100000" sheet="1" objects="1" scenarios="1"/>
  <mergeCells count="7">
    <mergeCell ref="L11:N11"/>
    <mergeCell ref="C24:H24"/>
    <mergeCell ref="F35:G35"/>
    <mergeCell ref="A1:H1"/>
    <mergeCell ref="A2:H2"/>
    <mergeCell ref="A3:H3"/>
    <mergeCell ref="C4:H6"/>
  </mergeCells>
  <conditionalFormatting sqref="D26:H26">
    <cfRule type="expression" dxfId="26" priority="27">
      <formula>$K$11&gt;1</formula>
    </cfRule>
  </conditionalFormatting>
  <conditionalFormatting sqref="D27:H27">
    <cfRule type="expression" dxfId="25" priority="26">
      <formula>$K$9=1</formula>
    </cfRule>
  </conditionalFormatting>
  <conditionalFormatting sqref="D28:H28">
    <cfRule type="expression" dxfId="24" priority="25">
      <formula>$K$9=2</formula>
    </cfRule>
  </conditionalFormatting>
  <conditionalFormatting sqref="D29:H29">
    <cfRule type="expression" dxfId="23" priority="24">
      <formula>$K$9=3</formula>
    </cfRule>
  </conditionalFormatting>
  <conditionalFormatting sqref="D30:H30">
    <cfRule type="expression" dxfId="22" priority="23">
      <formula>$K$9=4</formula>
    </cfRule>
  </conditionalFormatting>
  <conditionalFormatting sqref="D31:H31">
    <cfRule type="expression" dxfId="21" priority="22">
      <formula>$K$9=5</formula>
    </cfRule>
  </conditionalFormatting>
  <conditionalFormatting sqref="D32">
    <cfRule type="expression" dxfId="20" priority="21">
      <formula>$D$32&gt;0</formula>
    </cfRule>
  </conditionalFormatting>
  <conditionalFormatting sqref="E32">
    <cfRule type="expression" dxfId="19" priority="20">
      <formula>$E$32&gt;0</formula>
    </cfRule>
    <cfRule type="expression" dxfId="18" priority="3">
      <formula>$E$32=0</formula>
    </cfRule>
  </conditionalFormatting>
  <conditionalFormatting sqref="F32">
    <cfRule type="expression" dxfId="17" priority="19">
      <formula>$F$32&gt;0</formula>
    </cfRule>
  </conditionalFormatting>
  <conditionalFormatting sqref="G32">
    <cfRule type="expression" dxfId="16" priority="18">
      <formula>$G$32&gt;0</formula>
    </cfRule>
  </conditionalFormatting>
  <conditionalFormatting sqref="H32">
    <cfRule type="expression" dxfId="15" priority="17">
      <formula>$H$32&gt;0</formula>
    </cfRule>
  </conditionalFormatting>
  <conditionalFormatting sqref="D33">
    <cfRule type="expression" dxfId="14" priority="16">
      <formula>$D$33&gt;0</formula>
    </cfRule>
  </conditionalFormatting>
  <conditionalFormatting sqref="E33">
    <cfRule type="expression" dxfId="13" priority="15">
      <formula>$E$33&gt;0</formula>
    </cfRule>
    <cfRule type="expression" dxfId="12" priority="2">
      <formula>$E$33=0</formula>
    </cfRule>
  </conditionalFormatting>
  <conditionalFormatting sqref="F33">
    <cfRule type="expression" dxfId="11" priority="14">
      <formula>$F$33&gt;0</formula>
    </cfRule>
  </conditionalFormatting>
  <conditionalFormatting sqref="G33">
    <cfRule type="expression" dxfId="10" priority="13">
      <formula>$G$33&gt;0</formula>
    </cfRule>
  </conditionalFormatting>
  <conditionalFormatting sqref="H33">
    <cfRule type="expression" dxfId="9" priority="12">
      <formula>$H$33&gt;0</formula>
    </cfRule>
  </conditionalFormatting>
  <conditionalFormatting sqref="A35:A36">
    <cfRule type="expression" dxfId="8" priority="11">
      <formula>$H$35=0</formula>
    </cfRule>
  </conditionalFormatting>
  <conditionalFormatting sqref="E31">
    <cfRule type="expression" dxfId="7" priority="10">
      <formula>$E$31=0</formula>
    </cfRule>
    <cfRule type="expression" dxfId="6" priority="4">
      <formula>$E$31=0</formula>
    </cfRule>
  </conditionalFormatting>
  <conditionalFormatting sqref="E26">
    <cfRule type="expression" dxfId="5" priority="9">
      <formula>$E$26=0</formula>
    </cfRule>
  </conditionalFormatting>
  <conditionalFormatting sqref="E27">
    <cfRule type="expression" dxfId="4" priority="8">
      <formula>$E$27=0</formula>
    </cfRule>
  </conditionalFormatting>
  <conditionalFormatting sqref="E28">
    <cfRule type="expression" dxfId="3" priority="7">
      <formula>$E$28=0</formula>
    </cfRule>
  </conditionalFormatting>
  <conditionalFormatting sqref="E29">
    <cfRule type="expression" dxfId="2" priority="6">
      <formula>$E$29=0</formula>
    </cfRule>
  </conditionalFormatting>
  <conditionalFormatting sqref="E30">
    <cfRule type="expression" dxfId="1" priority="5">
      <formula>$E$30=0</formula>
    </cfRule>
  </conditionalFormatting>
  <conditionalFormatting sqref="E34">
    <cfRule type="expression" dxfId="0" priority="1">
      <formula>$E$34=0</formula>
    </cfRule>
  </conditionalFormatting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 sizeWithCells="1">
                  <from>
                    <xdr:col>0</xdr:col>
                    <xdr:colOff>342900</xdr:colOff>
                    <xdr:row>28</xdr:row>
                    <xdr:rowOff>38100</xdr:rowOff>
                  </from>
                  <to>
                    <xdr:col>1</xdr:col>
                    <xdr:colOff>104775</xdr:colOff>
                    <xdr:row>29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 sizeWithCells="1">
                  <from>
                    <xdr:col>0</xdr:col>
                    <xdr:colOff>342900</xdr:colOff>
                    <xdr:row>29</xdr:row>
                    <xdr:rowOff>66675</xdr:rowOff>
                  </from>
                  <to>
                    <xdr:col>1</xdr:col>
                    <xdr:colOff>104775</xdr:colOff>
                    <xdr:row>30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 sizeWithCells="1">
                  <from>
                    <xdr:col>0</xdr:col>
                    <xdr:colOff>342900</xdr:colOff>
                    <xdr:row>30</xdr:row>
                    <xdr:rowOff>85725</xdr:rowOff>
                  </from>
                  <to>
                    <xdr:col>1</xdr:col>
                    <xdr:colOff>104775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Group Box 4">
              <controlPr defaultSize="0" autoFill="0" autoPict="0" altText="Select Soils Report if Applicable">
                <anchor moveWithCells="1" sizeWithCells="1">
                  <from>
                    <xdr:col>0</xdr:col>
                    <xdr:colOff>333375</xdr:colOff>
                    <xdr:row>27</xdr:row>
                    <xdr:rowOff>85725</xdr:rowOff>
                  </from>
                  <to>
                    <xdr:col>1</xdr:col>
                    <xdr:colOff>190500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>
                <anchor moveWithCells="1" sizeWithCells="1">
                  <from>
                    <xdr:col>0</xdr:col>
                    <xdr:colOff>342900</xdr:colOff>
                    <xdr:row>19</xdr:row>
                    <xdr:rowOff>19050</xdr:rowOff>
                  </from>
                  <to>
                    <xdr:col>1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Option Button 6">
              <controlPr defaultSize="0" autoFill="0" autoLine="0" autoPict="0">
                <anchor moveWithCells="1" sizeWithCells="1">
                  <from>
                    <xdr:col>0</xdr:col>
                    <xdr:colOff>342900</xdr:colOff>
                    <xdr:row>20</xdr:row>
                    <xdr:rowOff>9525</xdr:rowOff>
                  </from>
                  <to>
                    <xdr:col>1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Option Button 7">
              <controlPr defaultSize="0" autoFill="0" autoLine="0" autoPict="0">
                <anchor moveWithCells="1" sizeWithCells="1">
                  <from>
                    <xdr:col>0</xdr:col>
                    <xdr:colOff>342900</xdr:colOff>
                    <xdr:row>21</xdr:row>
                    <xdr:rowOff>0</xdr:rowOff>
                  </from>
                  <to>
                    <xdr:col>1</xdr:col>
                    <xdr:colOff>104775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Group Box 8">
              <controlPr defaultSize="0" autoFill="0" autoPict="0" altText="Select Soils Report if Applicable">
                <anchor moveWithCells="1" sizeWithCells="1">
                  <from>
                    <xdr:col>0</xdr:col>
                    <xdr:colOff>333375</xdr:colOff>
                    <xdr:row>18</xdr:row>
                    <xdr:rowOff>95250</xdr:rowOff>
                  </from>
                  <to>
                    <xdr:col>1</xdr:col>
                    <xdr:colOff>190500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Option Button 9">
              <controlPr defaultSize="0" autoFill="0" autoLine="0" autoPict="0">
                <anchor moveWithCells="1" sizeWithCells="1">
                  <from>
                    <xdr:col>0</xdr:col>
                    <xdr:colOff>342900</xdr:colOff>
                    <xdr:row>21</xdr:row>
                    <xdr:rowOff>180975</xdr:rowOff>
                  </from>
                  <to>
                    <xdr:col>0</xdr:col>
                    <xdr:colOff>2552700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Option Button 10">
              <controlPr defaultSize="0" autoFill="0" autoLine="0" autoPict="0" altText="Rough Grading Plan">
                <anchor moveWithCells="1" sizeWithCells="1">
                  <from>
                    <xdr:col>0</xdr:col>
                    <xdr:colOff>333375</xdr:colOff>
                    <xdr:row>9</xdr:row>
                    <xdr:rowOff>47625</xdr:rowOff>
                  </from>
                  <to>
                    <xdr:col>1</xdr:col>
                    <xdr:colOff>95250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Option Button 11">
              <controlPr defaultSize="0" autoFill="0" autoLine="0" autoPict="0" altText="None">
                <anchor moveWithCells="1" sizeWithCells="1">
                  <from>
                    <xdr:col>0</xdr:col>
                    <xdr:colOff>333375</xdr:colOff>
                    <xdr:row>10</xdr:row>
                    <xdr:rowOff>47625</xdr:rowOff>
                  </from>
                  <to>
                    <xdr:col>1</xdr:col>
                    <xdr:colOff>95250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Option Button 12">
              <controlPr defaultSize="0" autoFill="0" autoLine="0" autoPict="0">
                <anchor moveWithCells="1" sizeWithCells="1">
                  <from>
                    <xdr:col>0</xdr:col>
                    <xdr:colOff>333375</xdr:colOff>
                    <xdr:row>11</xdr:row>
                    <xdr:rowOff>57150</xdr:rowOff>
                  </from>
                  <to>
                    <xdr:col>1</xdr:col>
                    <xdr:colOff>95250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Group Box 13">
              <controlPr defaultSize="0" autoFill="0" autoPict="0" altText="Select Soils Report if Applicable">
                <anchor moveWithCells="1" sizeWithCells="1">
                  <from>
                    <xdr:col>0</xdr:col>
                    <xdr:colOff>333375</xdr:colOff>
                    <xdr:row>8</xdr:row>
                    <xdr:rowOff>95250</xdr:rowOff>
                  </from>
                  <to>
                    <xdr:col>1</xdr:col>
                    <xdr:colOff>190500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Option Button 14">
              <controlPr defaultSize="0" autoFill="0" autoLine="0" autoPict="0">
                <anchor moveWithCells="1" sizeWithCells="1">
                  <from>
                    <xdr:col>0</xdr:col>
                    <xdr:colOff>333375</xdr:colOff>
                    <xdr:row>12</xdr:row>
                    <xdr:rowOff>57150</xdr:rowOff>
                  </from>
                  <to>
                    <xdr:col>1</xdr:col>
                    <xdr:colOff>95250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Option Button 15">
              <controlPr defaultSize="0" autoFill="0" autoLine="0" autoPict="0">
                <anchor moveWithCells="1" sizeWithCells="1">
                  <from>
                    <xdr:col>0</xdr:col>
                    <xdr:colOff>333375</xdr:colOff>
                    <xdr:row>13</xdr:row>
                    <xdr:rowOff>66675</xdr:rowOff>
                  </from>
                  <to>
                    <xdr:col>1</xdr:col>
                    <xdr:colOff>95250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locked="0" defaultSize="0" autoFill="0" autoLine="0" autoPict="0">
                <anchor moveWithCells="1">
                  <from>
                    <xdr:col>2</xdr:col>
                    <xdr:colOff>381000</xdr:colOff>
                    <xdr:row>17</xdr:row>
                    <xdr:rowOff>28575</xdr:rowOff>
                  </from>
                  <to>
                    <xdr:col>3</xdr:col>
                    <xdr:colOff>361950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2</xdr:col>
                    <xdr:colOff>381000</xdr:colOff>
                    <xdr:row>20</xdr:row>
                    <xdr:rowOff>19050</xdr:rowOff>
                  </from>
                  <to>
                    <xdr:col>3</xdr:col>
                    <xdr:colOff>571500</xdr:colOff>
                    <xdr:row>21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0755A-F736-4083-9DEC-F82A235F4EFC}">
  <sheetPr codeName="Sheet2"/>
  <dimension ref="B1:AC92"/>
  <sheetViews>
    <sheetView topLeftCell="A28" workbookViewId="0">
      <selection activeCell="O60" sqref="O60"/>
    </sheetView>
  </sheetViews>
  <sheetFormatPr defaultRowHeight="15" x14ac:dyDescent="0.25"/>
  <cols>
    <col min="2" max="2" width="12.5703125" customWidth="1"/>
    <col min="9" max="9" width="18" customWidth="1"/>
    <col min="10" max="10" width="9.5703125" customWidth="1"/>
    <col min="11" max="11" width="13.28515625" customWidth="1"/>
    <col min="15" max="15" width="21.140625" customWidth="1"/>
    <col min="17" max="17" width="11" customWidth="1"/>
    <col min="24" max="24" width="20.140625" customWidth="1"/>
    <col min="26" max="26" width="13.140625" customWidth="1"/>
  </cols>
  <sheetData>
    <row r="1" spans="2:26" ht="15.75" thickBot="1" x14ac:dyDescent="0.3"/>
    <row r="2" spans="2:26" ht="16.5" thickTop="1" thickBot="1" x14ac:dyDescent="0.3">
      <c r="B2" s="157" t="s">
        <v>0</v>
      </c>
      <c r="C2" s="158"/>
      <c r="D2" s="158"/>
      <c r="E2" s="158"/>
      <c r="F2" s="158"/>
      <c r="G2" s="159"/>
      <c r="I2" s="157" t="s">
        <v>1</v>
      </c>
      <c r="J2" s="158"/>
      <c r="K2" s="159"/>
      <c r="O2" s="1" t="s">
        <v>2</v>
      </c>
      <c r="Q2" s="157" t="s">
        <v>0</v>
      </c>
      <c r="R2" s="158"/>
      <c r="S2" s="158"/>
      <c r="T2" s="158"/>
      <c r="U2" s="158"/>
      <c r="V2" s="159"/>
      <c r="X2" s="157" t="s">
        <v>1</v>
      </c>
      <c r="Y2" s="158"/>
      <c r="Z2" s="159"/>
    </row>
    <row r="3" spans="2:26" ht="15.75" thickTop="1" x14ac:dyDescent="0.25">
      <c r="B3" s="2" t="s">
        <v>3</v>
      </c>
      <c r="C3" s="3" t="s">
        <v>3</v>
      </c>
      <c r="D3" s="4" t="s">
        <v>4</v>
      </c>
      <c r="E3" s="4" t="s">
        <v>5</v>
      </c>
      <c r="F3" s="3" t="s">
        <v>6</v>
      </c>
      <c r="G3" s="5" t="s">
        <v>7</v>
      </c>
      <c r="I3" s="2" t="s">
        <v>8</v>
      </c>
      <c r="J3" s="4" t="s">
        <v>9</v>
      </c>
      <c r="K3" s="6" t="s">
        <v>10</v>
      </c>
      <c r="Q3" s="2" t="s">
        <v>3</v>
      </c>
      <c r="R3" s="3" t="s">
        <v>3</v>
      </c>
      <c r="S3" s="4" t="s">
        <v>4</v>
      </c>
      <c r="T3" s="4" t="s">
        <v>5</v>
      </c>
      <c r="U3" s="3" t="s">
        <v>6</v>
      </c>
      <c r="V3" s="5" t="s">
        <v>7</v>
      </c>
      <c r="X3" s="2" t="s">
        <v>8</v>
      </c>
      <c r="Y3" s="4" t="s">
        <v>9</v>
      </c>
      <c r="Z3" s="6" t="s">
        <v>10</v>
      </c>
    </row>
    <row r="4" spans="2:26" x14ac:dyDescent="0.25">
      <c r="B4" s="7">
        <v>1</v>
      </c>
      <c r="C4" s="8">
        <v>1000</v>
      </c>
      <c r="D4" s="9">
        <v>1571</v>
      </c>
      <c r="E4" s="10"/>
      <c r="F4" s="11"/>
      <c r="G4" s="12"/>
      <c r="I4" s="13" t="s">
        <v>11</v>
      </c>
      <c r="J4" s="9">
        <v>947</v>
      </c>
      <c r="K4" s="14" t="s">
        <v>12</v>
      </c>
      <c r="O4" s="15">
        <v>4.9299999999999997E-2</v>
      </c>
      <c r="Q4" s="16">
        <v>1</v>
      </c>
      <c r="R4" s="17">
        <v>1000</v>
      </c>
      <c r="S4" s="9">
        <v>1552</v>
      </c>
      <c r="T4" s="10"/>
      <c r="U4" s="11"/>
      <c r="V4" s="12"/>
      <c r="X4" s="13" t="s">
        <v>11</v>
      </c>
      <c r="Y4" s="9">
        <v>873</v>
      </c>
      <c r="Z4" s="14" t="s">
        <v>12</v>
      </c>
    </row>
    <row r="5" spans="2:26" x14ac:dyDescent="0.25">
      <c r="B5" s="18">
        <v>1001</v>
      </c>
      <c r="C5" s="8">
        <v>10000</v>
      </c>
      <c r="D5" s="9">
        <v>1571</v>
      </c>
      <c r="E5" s="19">
        <v>15</v>
      </c>
      <c r="F5" s="20">
        <v>100</v>
      </c>
      <c r="G5" s="12">
        <v>1000</v>
      </c>
      <c r="I5" s="21" t="s">
        <v>13</v>
      </c>
      <c r="J5" s="9">
        <v>947</v>
      </c>
      <c r="K5" s="22" t="s">
        <v>12</v>
      </c>
      <c r="Q5" s="23">
        <v>1001</v>
      </c>
      <c r="R5" s="17">
        <v>10000</v>
      </c>
      <c r="S5" s="9">
        <v>1552</v>
      </c>
      <c r="T5" s="24">
        <v>16.93</v>
      </c>
      <c r="U5" s="20">
        <v>100</v>
      </c>
      <c r="V5" s="12">
        <v>1000</v>
      </c>
      <c r="X5" s="21" t="s">
        <v>13</v>
      </c>
      <c r="Y5" s="9">
        <v>873</v>
      </c>
      <c r="Z5" s="22" t="s">
        <v>12</v>
      </c>
    </row>
    <row r="6" spans="2:26" x14ac:dyDescent="0.25">
      <c r="B6" s="25">
        <v>10001</v>
      </c>
      <c r="C6" s="26">
        <v>100000</v>
      </c>
      <c r="D6" s="9">
        <v>2968</v>
      </c>
      <c r="E6" s="19">
        <v>58</v>
      </c>
      <c r="F6" s="27">
        <v>1000</v>
      </c>
      <c r="G6" s="28">
        <v>10000</v>
      </c>
      <c r="I6" s="29" t="s">
        <v>14</v>
      </c>
      <c r="J6" s="9">
        <v>947</v>
      </c>
      <c r="K6" s="22" t="s">
        <v>12</v>
      </c>
      <c r="Q6" s="30">
        <v>10001</v>
      </c>
      <c r="R6" s="31">
        <v>100000</v>
      </c>
      <c r="S6" s="32">
        <v>3076</v>
      </c>
      <c r="T6" s="24">
        <v>57.66</v>
      </c>
      <c r="U6" s="27">
        <v>1000</v>
      </c>
      <c r="V6" s="28">
        <v>10000</v>
      </c>
      <c r="X6" s="29" t="s">
        <v>14</v>
      </c>
      <c r="Y6" s="9">
        <v>873</v>
      </c>
      <c r="Z6" s="22" t="s">
        <v>12</v>
      </c>
    </row>
    <row r="7" spans="2:26" ht="15.75" thickBot="1" x14ac:dyDescent="0.3">
      <c r="B7" s="25">
        <v>100001</v>
      </c>
      <c r="C7" s="26">
        <v>500000</v>
      </c>
      <c r="D7" s="9">
        <v>8273</v>
      </c>
      <c r="E7" s="19">
        <v>168</v>
      </c>
      <c r="F7" s="27">
        <v>10000</v>
      </c>
      <c r="G7" s="28">
        <v>100000</v>
      </c>
      <c r="I7" s="33" t="s">
        <v>15</v>
      </c>
      <c r="J7" s="34">
        <v>947</v>
      </c>
      <c r="K7" s="35" t="s">
        <v>12</v>
      </c>
      <c r="Q7" s="30">
        <v>100001</v>
      </c>
      <c r="R7" s="31">
        <v>500000</v>
      </c>
      <c r="S7" s="32">
        <v>8265</v>
      </c>
      <c r="T7" s="24">
        <v>145.94999999999999</v>
      </c>
      <c r="U7" s="27">
        <v>10000</v>
      </c>
      <c r="V7" s="28">
        <v>100000</v>
      </c>
      <c r="X7" s="33" t="s">
        <v>15</v>
      </c>
      <c r="Y7" s="36">
        <v>873</v>
      </c>
      <c r="Z7" s="35" t="s">
        <v>12</v>
      </c>
    </row>
    <row r="8" spans="2:26" ht="15.75" thickTop="1" x14ac:dyDescent="0.25">
      <c r="B8" s="25">
        <v>500001</v>
      </c>
      <c r="C8" s="26"/>
      <c r="D8" s="9">
        <v>15016</v>
      </c>
      <c r="E8" s="19">
        <v>303</v>
      </c>
      <c r="F8" s="27">
        <v>10000</v>
      </c>
      <c r="G8" s="37">
        <v>500000</v>
      </c>
      <c r="I8" s="38"/>
      <c r="J8" s="38"/>
      <c r="K8" s="38"/>
      <c r="Q8" s="30">
        <v>500001</v>
      </c>
      <c r="R8" s="31"/>
      <c r="S8" s="32">
        <v>14103</v>
      </c>
      <c r="T8" s="24">
        <v>255.14</v>
      </c>
      <c r="U8" s="27">
        <v>10000</v>
      </c>
      <c r="V8" s="37">
        <v>500000</v>
      </c>
    </row>
    <row r="9" spans="2:26" x14ac:dyDescent="0.25">
      <c r="B9" s="30"/>
      <c r="C9" s="31"/>
      <c r="D9" s="32"/>
      <c r="E9" s="24"/>
      <c r="F9" s="27"/>
      <c r="G9" s="37"/>
      <c r="I9" t="s">
        <v>16</v>
      </c>
      <c r="K9" s="38"/>
      <c r="Q9" s="30"/>
      <c r="R9" s="31"/>
      <c r="S9" s="32"/>
      <c r="T9" s="24"/>
      <c r="U9" s="27"/>
      <c r="V9" s="37"/>
    </row>
    <row r="10" spans="2:26" x14ac:dyDescent="0.25">
      <c r="B10" s="30"/>
      <c r="C10" s="31"/>
      <c r="D10" s="32"/>
      <c r="E10" s="24"/>
      <c r="F10" s="27"/>
      <c r="G10" s="37"/>
      <c r="I10" s="38" t="s">
        <v>17</v>
      </c>
      <c r="J10" s="142">
        <f>'Grading Fee Calcs'!E10</f>
        <v>0</v>
      </c>
      <c r="K10" s="38"/>
      <c r="Q10" s="30"/>
      <c r="R10" s="31"/>
      <c r="S10" s="32"/>
      <c r="T10" s="24"/>
      <c r="U10" s="27"/>
      <c r="V10" s="37"/>
    </row>
    <row r="11" spans="2:26" ht="15.75" thickBot="1" x14ac:dyDescent="0.3">
      <c r="B11" s="39"/>
      <c r="C11" s="40"/>
      <c r="D11" s="36"/>
      <c r="E11" s="41"/>
      <c r="F11" s="42"/>
      <c r="G11" s="43"/>
      <c r="I11" s="38" t="s">
        <v>18</v>
      </c>
      <c r="J11" s="44">
        <f>IF('Grading Fee Calcs'!K10=1,J4,IF('Grading Fee Calcs'!K10=2,J6,IF('Grading Fee Calcs'!K10=3,J7,"N/A")))</f>
        <v>947</v>
      </c>
      <c r="Q11" s="39"/>
      <c r="R11" s="40"/>
      <c r="S11" s="36"/>
      <c r="T11" s="41"/>
      <c r="U11" s="42"/>
      <c r="V11" s="43"/>
    </row>
    <row r="12" spans="2:26" ht="15.75" thickTop="1" x14ac:dyDescent="0.25">
      <c r="B12" s="38"/>
      <c r="C12" s="38"/>
      <c r="D12" s="38"/>
      <c r="E12" s="38"/>
      <c r="F12" s="38"/>
      <c r="G12" s="38"/>
      <c r="I12" s="45" t="s">
        <v>9</v>
      </c>
      <c r="J12" s="46">
        <f>J11*J10</f>
        <v>0</v>
      </c>
      <c r="K12" s="47">
        <f>J12+B20</f>
        <v>0</v>
      </c>
    </row>
    <row r="13" spans="2:26" ht="15.75" thickBot="1" x14ac:dyDescent="0.3">
      <c r="B13" s="38" t="s">
        <v>19</v>
      </c>
      <c r="C13" s="38"/>
      <c r="D13" s="44"/>
      <c r="E13" s="38"/>
      <c r="F13" s="38"/>
      <c r="G13" s="38"/>
    </row>
    <row r="14" spans="2:26" ht="16.5" thickTop="1" thickBot="1" x14ac:dyDescent="0.3">
      <c r="B14" s="26">
        <f>IFERROR(VLOOKUP('Grading Fee Calcs'!$C$12,$B$4:G11,1),0)</f>
        <v>0</v>
      </c>
      <c r="C14" s="31">
        <f>IFERROR(VLOOKUP('Grading Fee Calcs'!$C$12,$B$4:G11,2),0)</f>
        <v>0</v>
      </c>
      <c r="D14" s="48">
        <f>IFERROR(VLOOKUP('Grading Fee Calcs'!$C$12,$B$4:G11,3),0)</f>
        <v>0</v>
      </c>
      <c r="E14" s="49">
        <f>IFERROR(VLOOKUP('Grading Fee Calcs'!$C$12,$B$4:G11,4),0)</f>
        <v>0</v>
      </c>
      <c r="F14" s="27">
        <f>IFERROR(VLOOKUP('Grading Fee Calcs'!$C$12,$B$4:G11,5),0)</f>
        <v>0</v>
      </c>
      <c r="G14" s="50">
        <f>IFERROR(VLOOKUP('Grading Fee Calcs'!$C$12,$B$4:G11,6),0)</f>
        <v>0</v>
      </c>
      <c r="I14" s="157" t="s">
        <v>20</v>
      </c>
      <c r="J14" s="158"/>
      <c r="K14" s="159"/>
      <c r="X14" s="157" t="s">
        <v>20</v>
      </c>
      <c r="Y14" s="158"/>
      <c r="Z14" s="159"/>
    </row>
    <row r="15" spans="2:26" ht="15.75" thickTop="1" x14ac:dyDescent="0.25">
      <c r="B15" s="31"/>
      <c r="C15" s="31"/>
      <c r="D15" s="48"/>
      <c r="E15" s="49"/>
      <c r="F15" s="27"/>
      <c r="G15" s="50"/>
      <c r="I15" s="2" t="s">
        <v>8</v>
      </c>
      <c r="J15" s="4" t="s">
        <v>9</v>
      </c>
      <c r="K15" s="6" t="s">
        <v>10</v>
      </c>
      <c r="X15" s="2" t="s">
        <v>8</v>
      </c>
      <c r="Y15" s="4" t="s">
        <v>9</v>
      </c>
      <c r="Z15" s="6" t="s">
        <v>10</v>
      </c>
    </row>
    <row r="16" spans="2:26" x14ac:dyDescent="0.25">
      <c r="B16" s="51">
        <f>D14</f>
        <v>0</v>
      </c>
      <c r="C16" s="52" t="s">
        <v>21</v>
      </c>
      <c r="D16" s="48"/>
      <c r="E16" s="49"/>
      <c r="F16" s="27"/>
      <c r="G16" s="50"/>
      <c r="I16" s="13" t="s">
        <v>11</v>
      </c>
      <c r="J16" s="9">
        <v>817</v>
      </c>
      <c r="K16" s="14" t="s">
        <v>12</v>
      </c>
      <c r="X16" s="13" t="s">
        <v>11</v>
      </c>
      <c r="Y16" s="9">
        <v>806</v>
      </c>
      <c r="Z16" s="14" t="s">
        <v>12</v>
      </c>
    </row>
    <row r="17" spans="2:29" x14ac:dyDescent="0.25">
      <c r="B17" s="53">
        <f>'Grading Fee Calcs'!$C$12-G14</f>
        <v>0</v>
      </c>
      <c r="C17" s="52" t="s">
        <v>22</v>
      </c>
      <c r="D17" s="48"/>
      <c r="E17" s="49"/>
      <c r="F17" s="27"/>
      <c r="G17" s="50"/>
      <c r="I17" s="21" t="s">
        <v>13</v>
      </c>
      <c r="J17" s="9">
        <v>817</v>
      </c>
      <c r="K17" s="22" t="s">
        <v>12</v>
      </c>
      <c r="X17" s="21" t="s">
        <v>13</v>
      </c>
      <c r="Y17" s="9">
        <v>806</v>
      </c>
      <c r="Z17" s="22" t="s">
        <v>12</v>
      </c>
    </row>
    <row r="18" spans="2:29" x14ac:dyDescent="0.25">
      <c r="B18" s="54" t="e">
        <f>B17/F14</f>
        <v>#DIV/0!</v>
      </c>
      <c r="C18" s="52" t="s">
        <v>23</v>
      </c>
      <c r="D18" s="48"/>
      <c r="E18" s="49"/>
      <c r="F18" s="27"/>
      <c r="G18" s="50"/>
      <c r="I18" s="29" t="s">
        <v>14</v>
      </c>
      <c r="J18" s="9">
        <v>817</v>
      </c>
      <c r="K18" s="22" t="s">
        <v>12</v>
      </c>
      <c r="X18" s="29" t="s">
        <v>14</v>
      </c>
      <c r="Y18" s="9">
        <v>806</v>
      </c>
      <c r="Z18" s="22" t="s">
        <v>12</v>
      </c>
    </row>
    <row r="19" spans="2:29" ht="15.75" thickBot="1" x14ac:dyDescent="0.3">
      <c r="B19" s="51">
        <f>IF(E14=0,0,B18*E14)</f>
        <v>0</v>
      </c>
      <c r="C19" s="52" t="s">
        <v>24</v>
      </c>
      <c r="D19" s="48"/>
      <c r="E19" s="49"/>
      <c r="F19" s="27"/>
      <c r="G19" s="50"/>
      <c r="I19" s="33" t="s">
        <v>15</v>
      </c>
      <c r="J19" s="34">
        <v>817</v>
      </c>
      <c r="K19" s="35" t="s">
        <v>12</v>
      </c>
      <c r="X19" s="33" t="s">
        <v>15</v>
      </c>
      <c r="Y19" s="36">
        <v>806</v>
      </c>
      <c r="Z19" s="35" t="s">
        <v>12</v>
      </c>
    </row>
    <row r="20" spans="2:29" ht="15.75" thickTop="1" x14ac:dyDescent="0.25">
      <c r="B20" s="51">
        <f>B16+B19</f>
        <v>0</v>
      </c>
      <c r="C20" s="55" t="s">
        <v>25</v>
      </c>
      <c r="D20" s="38"/>
      <c r="E20" s="38"/>
      <c r="F20" s="38"/>
      <c r="G20" s="38"/>
      <c r="I20" s="38"/>
      <c r="J20" s="38"/>
      <c r="K20" s="38"/>
    </row>
    <row r="21" spans="2:29" ht="15.75" thickBot="1" x14ac:dyDescent="0.3">
      <c r="I21" t="s">
        <v>16</v>
      </c>
      <c r="K21" s="38"/>
    </row>
    <row r="22" spans="2:29" ht="16.5" thickTop="1" thickBot="1" x14ac:dyDescent="0.3">
      <c r="B22" s="157" t="s">
        <v>26</v>
      </c>
      <c r="C22" s="158"/>
      <c r="D22" s="158"/>
      <c r="E22" s="158"/>
      <c r="F22" s="158"/>
      <c r="G22" s="159"/>
      <c r="I22" s="38" t="s">
        <v>17</v>
      </c>
      <c r="J22" s="142">
        <f>'Grading Fee Calcs'!E10</f>
        <v>0</v>
      </c>
      <c r="K22" s="38"/>
      <c r="Q22" s="157" t="s">
        <v>26</v>
      </c>
      <c r="R22" s="158"/>
      <c r="S22" s="158"/>
      <c r="T22" s="158"/>
      <c r="U22" s="158"/>
      <c r="V22" s="159"/>
    </row>
    <row r="23" spans="2:29" ht="15.75" thickTop="1" x14ac:dyDescent="0.25">
      <c r="B23" s="2" t="s">
        <v>3</v>
      </c>
      <c r="C23" s="3" t="s">
        <v>3</v>
      </c>
      <c r="D23" s="4" t="s">
        <v>4</v>
      </c>
      <c r="E23" s="4" t="s">
        <v>5</v>
      </c>
      <c r="F23" s="3" t="s">
        <v>6</v>
      </c>
      <c r="G23" s="5" t="s">
        <v>7</v>
      </c>
      <c r="I23" s="38" t="s">
        <v>18</v>
      </c>
      <c r="J23" s="44">
        <f>IF('Grading Fee Calcs'!K10=1,J16,IF('Grading Fee Calcs'!K10=2,J18,IF('Grading Fee Calcs'!K10=3,J19,"N/A")))</f>
        <v>817</v>
      </c>
      <c r="Q23" s="2" t="s">
        <v>3</v>
      </c>
      <c r="R23" s="3" t="s">
        <v>3</v>
      </c>
      <c r="S23" s="4" t="s">
        <v>4</v>
      </c>
      <c r="T23" s="4" t="s">
        <v>5</v>
      </c>
      <c r="U23" s="3" t="s">
        <v>6</v>
      </c>
      <c r="V23" s="5" t="s">
        <v>7</v>
      </c>
    </row>
    <row r="24" spans="2:29" x14ac:dyDescent="0.25">
      <c r="B24" s="16">
        <v>1</v>
      </c>
      <c r="C24" s="17">
        <v>1000</v>
      </c>
      <c r="D24" s="9">
        <v>1225</v>
      </c>
      <c r="E24" s="10"/>
      <c r="F24" s="11"/>
      <c r="G24" s="12"/>
      <c r="I24" s="45" t="s">
        <v>9</v>
      </c>
      <c r="J24" s="46">
        <f>J23*J22</f>
        <v>0</v>
      </c>
      <c r="K24" s="47">
        <f>J24+B40</f>
        <v>0</v>
      </c>
      <c r="Q24" s="16">
        <v>1</v>
      </c>
      <c r="R24" s="17">
        <v>1000</v>
      </c>
      <c r="S24" s="9">
        <v>1202</v>
      </c>
      <c r="T24" s="10"/>
      <c r="U24" s="11"/>
      <c r="V24" s="12"/>
    </row>
    <row r="25" spans="2:29" ht="15.75" thickBot="1" x14ac:dyDescent="0.3">
      <c r="B25" s="23">
        <v>1001</v>
      </c>
      <c r="C25" s="17">
        <v>10000</v>
      </c>
      <c r="D25" s="9">
        <v>1225</v>
      </c>
      <c r="E25" s="19">
        <v>12</v>
      </c>
      <c r="F25" s="20">
        <v>100</v>
      </c>
      <c r="G25" s="12">
        <v>1000</v>
      </c>
      <c r="Q25" s="23">
        <v>1001</v>
      </c>
      <c r="R25" s="17">
        <v>10000</v>
      </c>
      <c r="S25" s="9">
        <v>1202</v>
      </c>
      <c r="T25" s="24">
        <v>11.64</v>
      </c>
      <c r="U25" s="20">
        <v>100</v>
      </c>
      <c r="V25" s="12">
        <v>1000</v>
      </c>
    </row>
    <row r="26" spans="2:29" ht="16.5" thickTop="1" thickBot="1" x14ac:dyDescent="0.3">
      <c r="B26" s="30">
        <v>10001</v>
      </c>
      <c r="C26" s="31">
        <v>100000</v>
      </c>
      <c r="D26" s="9">
        <v>2342</v>
      </c>
      <c r="E26" s="19">
        <v>28</v>
      </c>
      <c r="F26" s="27">
        <v>1000</v>
      </c>
      <c r="G26" s="28">
        <v>10000</v>
      </c>
      <c r="I26" s="157" t="s">
        <v>27</v>
      </c>
      <c r="J26" s="158"/>
      <c r="K26" s="158"/>
      <c r="L26" s="158"/>
      <c r="M26" s="158"/>
      <c r="N26" s="159"/>
      <c r="Q26" s="30">
        <v>10001</v>
      </c>
      <c r="R26" s="31">
        <v>100000</v>
      </c>
      <c r="S26" s="32">
        <v>2249</v>
      </c>
      <c r="T26" s="24">
        <v>28.41</v>
      </c>
      <c r="U26" s="27">
        <v>1000</v>
      </c>
      <c r="V26" s="28">
        <v>10000</v>
      </c>
      <c r="X26" s="157" t="s">
        <v>27</v>
      </c>
      <c r="Y26" s="158"/>
      <c r="Z26" s="158"/>
      <c r="AA26" s="158"/>
      <c r="AB26" s="158"/>
      <c r="AC26" s="159"/>
    </row>
    <row r="27" spans="2:29" ht="15.75" thickTop="1" x14ac:dyDescent="0.25">
      <c r="B27" s="30">
        <v>100001</v>
      </c>
      <c r="C27" s="31">
        <v>500000</v>
      </c>
      <c r="D27" s="9">
        <v>4948</v>
      </c>
      <c r="E27" s="19">
        <v>183</v>
      </c>
      <c r="F27" s="27">
        <v>10000</v>
      </c>
      <c r="G27" s="28">
        <v>100000</v>
      </c>
      <c r="I27" s="2" t="s">
        <v>3</v>
      </c>
      <c r="J27" s="3" t="s">
        <v>3</v>
      </c>
      <c r="K27" s="4" t="s">
        <v>4</v>
      </c>
      <c r="L27" s="4" t="s">
        <v>5</v>
      </c>
      <c r="M27" s="3" t="s">
        <v>6</v>
      </c>
      <c r="N27" s="5" t="s">
        <v>7</v>
      </c>
      <c r="Q27" s="30">
        <v>100001</v>
      </c>
      <c r="R27" s="31">
        <v>500000</v>
      </c>
      <c r="S27" s="32">
        <v>4805</v>
      </c>
      <c r="T27" s="24">
        <v>173.81</v>
      </c>
      <c r="U27" s="27">
        <v>10000</v>
      </c>
      <c r="V27" s="28">
        <v>100000</v>
      </c>
      <c r="X27" s="2" t="s">
        <v>3</v>
      </c>
      <c r="Y27" s="3" t="s">
        <v>3</v>
      </c>
      <c r="Z27" s="4" t="s">
        <v>4</v>
      </c>
      <c r="AA27" s="4" t="s">
        <v>5</v>
      </c>
      <c r="AB27" s="3" t="s">
        <v>6</v>
      </c>
      <c r="AC27" s="5" t="s">
        <v>7</v>
      </c>
    </row>
    <row r="28" spans="2:29" x14ac:dyDescent="0.25">
      <c r="B28" s="30">
        <v>500001</v>
      </c>
      <c r="C28" s="31"/>
      <c r="D28" s="9">
        <v>12270</v>
      </c>
      <c r="E28" s="19">
        <v>424</v>
      </c>
      <c r="F28" s="27">
        <v>10000</v>
      </c>
      <c r="G28" s="37">
        <v>500000</v>
      </c>
      <c r="I28" s="16">
        <v>1</v>
      </c>
      <c r="J28" s="17">
        <v>10000</v>
      </c>
      <c r="K28" s="9">
        <v>770</v>
      </c>
      <c r="L28" s="56"/>
      <c r="M28" s="11"/>
      <c r="N28" s="12"/>
      <c r="Q28" s="30">
        <v>500001</v>
      </c>
      <c r="R28" s="31"/>
      <c r="S28" s="32">
        <v>11757</v>
      </c>
      <c r="T28" s="24">
        <v>408.89</v>
      </c>
      <c r="U28" s="27">
        <v>10000</v>
      </c>
      <c r="V28" s="37">
        <v>500000</v>
      </c>
      <c r="X28" s="16">
        <v>1</v>
      </c>
      <c r="Y28" s="17">
        <v>10000</v>
      </c>
      <c r="Z28" s="9">
        <v>717</v>
      </c>
      <c r="AA28" s="56"/>
      <c r="AB28" s="11"/>
      <c r="AC28" s="12"/>
    </row>
    <row r="29" spans="2:29" x14ac:dyDescent="0.25">
      <c r="B29" s="30"/>
      <c r="C29" s="31"/>
      <c r="D29" s="32"/>
      <c r="E29" s="24"/>
      <c r="F29" s="27"/>
      <c r="G29" s="37"/>
      <c r="I29" s="30">
        <v>10001</v>
      </c>
      <c r="J29" s="31">
        <v>100000</v>
      </c>
      <c r="K29" s="9">
        <v>2968</v>
      </c>
      <c r="L29" s="19">
        <v>58</v>
      </c>
      <c r="M29" s="27">
        <v>1000</v>
      </c>
      <c r="N29" s="28">
        <v>10000</v>
      </c>
      <c r="Q29" s="30"/>
      <c r="R29" s="31"/>
      <c r="S29" s="32"/>
      <c r="T29" s="24"/>
      <c r="U29" s="27"/>
      <c r="V29" s="37"/>
      <c r="X29" s="30">
        <v>10001</v>
      </c>
      <c r="Y29" s="31">
        <v>100000</v>
      </c>
      <c r="Z29" s="32">
        <v>4805</v>
      </c>
      <c r="AA29" s="24">
        <v>173.81</v>
      </c>
      <c r="AB29" s="27">
        <v>10000</v>
      </c>
      <c r="AC29" s="28">
        <v>100000</v>
      </c>
    </row>
    <row r="30" spans="2:29" ht="15.75" thickBot="1" x14ac:dyDescent="0.3">
      <c r="B30" s="30"/>
      <c r="C30" s="31"/>
      <c r="D30" s="32"/>
      <c r="E30" s="24"/>
      <c r="F30" s="27"/>
      <c r="G30" s="37"/>
      <c r="I30" s="30">
        <v>100001</v>
      </c>
      <c r="J30" s="31">
        <v>500000</v>
      </c>
      <c r="K30" s="9">
        <v>8273</v>
      </c>
      <c r="L30" s="19">
        <v>168</v>
      </c>
      <c r="M30" s="27">
        <v>10000</v>
      </c>
      <c r="N30" s="28">
        <v>100000</v>
      </c>
      <c r="Q30" s="30"/>
      <c r="R30" s="31"/>
      <c r="S30" s="32"/>
      <c r="T30" s="24"/>
      <c r="U30" s="27"/>
      <c r="V30" s="37"/>
      <c r="X30" s="39">
        <v>100001</v>
      </c>
      <c r="Y30" s="40"/>
      <c r="Z30" s="32">
        <v>11757</v>
      </c>
      <c r="AA30" s="24">
        <v>408.89</v>
      </c>
      <c r="AB30" s="27">
        <v>10000</v>
      </c>
      <c r="AC30" s="37">
        <v>500000</v>
      </c>
    </row>
    <row r="31" spans="2:29" ht="16.5" thickTop="1" thickBot="1" x14ac:dyDescent="0.3">
      <c r="B31" s="39"/>
      <c r="C31" s="40"/>
      <c r="D31" s="36"/>
      <c r="E31" s="41"/>
      <c r="F31" s="42"/>
      <c r="G31" s="43"/>
      <c r="I31" s="39">
        <v>500001</v>
      </c>
      <c r="J31" s="40"/>
      <c r="K31" s="57">
        <v>15016</v>
      </c>
      <c r="L31" s="58">
        <v>303</v>
      </c>
      <c r="M31" s="42">
        <v>10000</v>
      </c>
      <c r="N31" s="59">
        <v>500000</v>
      </c>
      <c r="Q31" s="39"/>
      <c r="R31" s="40"/>
      <c r="S31" s="36"/>
      <c r="T31" s="41"/>
      <c r="U31" s="42"/>
      <c r="V31" s="43"/>
    </row>
    <row r="32" spans="2:29" ht="15.75" thickTop="1" x14ac:dyDescent="0.25">
      <c r="B32" s="38"/>
      <c r="C32" s="38"/>
      <c r="D32" s="38"/>
      <c r="E32" s="38"/>
      <c r="F32" s="38"/>
      <c r="G32" s="38"/>
      <c r="I32" s="38"/>
      <c r="J32" s="38"/>
      <c r="K32" s="38"/>
      <c r="L32" s="38"/>
      <c r="M32" s="38"/>
      <c r="N32" s="38"/>
    </row>
    <row r="33" spans="2:29" x14ac:dyDescent="0.25">
      <c r="B33" s="38" t="s">
        <v>19</v>
      </c>
      <c r="C33" s="38"/>
      <c r="D33" s="44"/>
      <c r="E33" s="38"/>
      <c r="F33" s="38"/>
      <c r="G33" s="38"/>
      <c r="I33" s="38" t="s">
        <v>19</v>
      </c>
      <c r="J33" s="38"/>
      <c r="K33" s="44"/>
      <c r="L33" s="38"/>
      <c r="M33" s="38"/>
      <c r="N33" s="38"/>
    </row>
    <row r="34" spans="2:29" x14ac:dyDescent="0.25">
      <c r="B34" s="31">
        <f>IFERROR(VLOOKUP('Grading Fee Calcs'!$C$12,$B$22:G31,1),0)</f>
        <v>0</v>
      </c>
      <c r="C34" s="31">
        <f>IFERROR(VLOOKUP('Grading Fee Calcs'!$C$12,$B$22:G31,2),0)</f>
        <v>0</v>
      </c>
      <c r="D34" s="48">
        <f>IFERROR(VLOOKUP('Grading Fee Calcs'!$C$12,$B$22:G31,3),0)</f>
        <v>0</v>
      </c>
      <c r="E34" s="49">
        <f>IFERROR(VLOOKUP('Grading Fee Calcs'!$C$12,$B$22:G31,4),0)</f>
        <v>0</v>
      </c>
      <c r="F34" s="27">
        <f>IFERROR(VLOOKUP('Grading Fee Calcs'!$C$12,$B$22:G31,5),0)</f>
        <v>0</v>
      </c>
      <c r="G34" s="50">
        <f>IFERROR(VLOOKUP('Grading Fee Calcs'!$C$12,$B$22:G31,6),0)</f>
        <v>0</v>
      </c>
      <c r="I34" s="31">
        <f>IFERROR(VLOOKUP('Grading Fee Calcs'!C12,$I$28:$N$31,1),0)</f>
        <v>0</v>
      </c>
      <c r="J34" s="31">
        <f>IFERROR(VLOOKUP('Grading Fee Calcs'!C12,$I$28:$N$31,2),0)</f>
        <v>0</v>
      </c>
      <c r="K34" s="31">
        <f>IFERROR(VLOOKUP('Grading Fee Calcs'!C12,$I$28:$N$31,3),0)</f>
        <v>0</v>
      </c>
      <c r="L34" s="31">
        <f>IFERROR(VLOOKUP('Grading Fee Calcs'!C12,$I$28:$N$31,4),0)</f>
        <v>0</v>
      </c>
      <c r="M34" s="60">
        <f>IFERROR(VLOOKUP('Grading Fee Calcs'!C12,$I$28:$N$31,5),0)</f>
        <v>0</v>
      </c>
      <c r="N34" s="60">
        <f>IFERROR(VLOOKUP('Grading Fee Calcs'!C12,$I$28:$N$31,6),0)</f>
        <v>0</v>
      </c>
    </row>
    <row r="35" spans="2:29" x14ac:dyDescent="0.25">
      <c r="B35" s="31"/>
      <c r="C35" s="31"/>
      <c r="D35" s="48"/>
      <c r="E35" s="49"/>
      <c r="F35" s="27"/>
      <c r="G35" s="50"/>
      <c r="I35" s="31"/>
      <c r="J35" s="31"/>
      <c r="K35" s="48"/>
      <c r="L35" s="49"/>
      <c r="M35" s="27"/>
      <c r="N35" s="50"/>
    </row>
    <row r="36" spans="2:29" x14ac:dyDescent="0.25">
      <c r="B36" s="51">
        <f>D34</f>
        <v>0</v>
      </c>
      <c r="C36" s="52" t="s">
        <v>21</v>
      </c>
      <c r="D36" s="48"/>
      <c r="E36" s="49"/>
      <c r="F36" s="27"/>
      <c r="G36" s="50"/>
      <c r="I36" s="51">
        <f>K34</f>
        <v>0</v>
      </c>
      <c r="J36" s="52" t="s">
        <v>21</v>
      </c>
      <c r="K36" s="48"/>
      <c r="L36" s="49"/>
      <c r="M36" s="27"/>
      <c r="N36" s="50"/>
    </row>
    <row r="37" spans="2:29" x14ac:dyDescent="0.25">
      <c r="B37" s="53">
        <f>'Grading Fee Calcs'!$C$12-G34</f>
        <v>0</v>
      </c>
      <c r="C37" s="52" t="s">
        <v>22</v>
      </c>
      <c r="D37" s="48"/>
      <c r="E37" s="49"/>
      <c r="F37" s="27"/>
      <c r="G37" s="50"/>
      <c r="I37" s="53">
        <f>'Grading Fee Calcs'!$C$12-N34</f>
        <v>0</v>
      </c>
      <c r="J37" s="52" t="s">
        <v>22</v>
      </c>
      <c r="K37" s="48"/>
      <c r="L37" s="49"/>
      <c r="M37" s="27"/>
      <c r="N37" s="50"/>
    </row>
    <row r="38" spans="2:29" x14ac:dyDescent="0.25">
      <c r="B38" s="54" t="e">
        <f>B37/F34</f>
        <v>#DIV/0!</v>
      </c>
      <c r="C38" s="52" t="s">
        <v>23</v>
      </c>
      <c r="D38" s="48"/>
      <c r="E38" s="49"/>
      <c r="F38" s="27"/>
      <c r="G38" s="50"/>
      <c r="I38" s="54" t="e">
        <f>I37/M34</f>
        <v>#DIV/0!</v>
      </c>
      <c r="J38" s="52" t="s">
        <v>23</v>
      </c>
      <c r="K38" s="48"/>
      <c r="L38" s="49"/>
      <c r="M38" s="27"/>
      <c r="N38" s="50"/>
    </row>
    <row r="39" spans="2:29" x14ac:dyDescent="0.25">
      <c r="B39" s="51">
        <f>IF(E34=0,0,B38*E34)</f>
        <v>0</v>
      </c>
      <c r="C39" s="52" t="s">
        <v>24</v>
      </c>
      <c r="D39" s="48"/>
      <c r="E39" s="49"/>
      <c r="F39" s="27"/>
      <c r="G39" s="50"/>
      <c r="I39" s="51">
        <f>IF(L34=0,0,I38*L34)</f>
        <v>0</v>
      </c>
      <c r="J39" s="52" t="s">
        <v>24</v>
      </c>
      <c r="K39" s="48"/>
      <c r="L39" s="49"/>
      <c r="M39" s="27"/>
      <c r="N39" s="50"/>
    </row>
    <row r="40" spans="2:29" x14ac:dyDescent="0.25">
      <c r="B40" s="51">
        <f>B36+B39</f>
        <v>0</v>
      </c>
      <c r="C40" s="55" t="s">
        <v>25</v>
      </c>
      <c r="D40" s="38"/>
      <c r="E40" s="38"/>
      <c r="F40" s="38"/>
      <c r="G40" s="38"/>
      <c r="I40" s="51">
        <f>I36+I39</f>
        <v>0</v>
      </c>
      <c r="J40" s="55" t="s">
        <v>25</v>
      </c>
      <c r="K40" s="38"/>
      <c r="L40" s="38"/>
      <c r="M40" s="38"/>
      <c r="N40" s="38"/>
    </row>
    <row r="41" spans="2:29" ht="15.75" thickBot="1" x14ac:dyDescent="0.3"/>
    <row r="42" spans="2:29" ht="16.5" thickTop="1" thickBot="1" x14ac:dyDescent="0.3">
      <c r="B42" s="157" t="s">
        <v>28</v>
      </c>
      <c r="C42" s="158"/>
      <c r="D42" s="158"/>
      <c r="E42" s="158"/>
      <c r="F42" s="158"/>
      <c r="G42" s="159"/>
      <c r="I42" s="157" t="s">
        <v>29</v>
      </c>
      <c r="J42" s="158"/>
      <c r="K42" s="158"/>
      <c r="L42" s="158"/>
      <c r="M42" s="158"/>
      <c r="N42" s="159"/>
      <c r="Q42" s="157" t="s">
        <v>28</v>
      </c>
      <c r="R42" s="158"/>
      <c r="S42" s="158"/>
      <c r="T42" s="158"/>
      <c r="U42" s="158"/>
      <c r="V42" s="159"/>
      <c r="X42" s="157" t="s">
        <v>29</v>
      </c>
      <c r="Y42" s="158"/>
      <c r="Z42" s="158"/>
      <c r="AA42" s="158"/>
      <c r="AB42" s="158"/>
      <c r="AC42" s="159"/>
    </row>
    <row r="43" spans="2:29" ht="15.75" thickTop="1" x14ac:dyDescent="0.25">
      <c r="B43" s="61" t="s">
        <v>30</v>
      </c>
      <c r="C43" s="62"/>
      <c r="D43" s="62"/>
      <c r="E43" s="62"/>
      <c r="F43" s="62"/>
      <c r="G43" s="63" t="s">
        <v>9</v>
      </c>
      <c r="I43" s="2" t="s">
        <v>3</v>
      </c>
      <c r="J43" s="3" t="s">
        <v>3</v>
      </c>
      <c r="K43" s="4" t="s">
        <v>4</v>
      </c>
      <c r="L43" s="4" t="s">
        <v>5</v>
      </c>
      <c r="M43" s="3" t="s">
        <v>6</v>
      </c>
      <c r="N43" s="5" t="s">
        <v>7</v>
      </c>
      <c r="Q43" s="61" t="s">
        <v>30</v>
      </c>
      <c r="R43" s="62"/>
      <c r="S43" s="62"/>
      <c r="T43" s="62"/>
      <c r="U43" s="62"/>
      <c r="V43" s="63" t="s">
        <v>9</v>
      </c>
      <c r="X43" s="2" t="s">
        <v>3</v>
      </c>
      <c r="Y43" s="3" t="s">
        <v>3</v>
      </c>
      <c r="Z43" s="4" t="s">
        <v>4</v>
      </c>
      <c r="AA43" s="4" t="s">
        <v>5</v>
      </c>
      <c r="AB43" s="3" t="s">
        <v>6</v>
      </c>
      <c r="AC43" s="5" t="s">
        <v>7</v>
      </c>
    </row>
    <row r="44" spans="2:29" x14ac:dyDescent="0.25">
      <c r="B44" s="64" t="s">
        <v>31</v>
      </c>
      <c r="C44" s="11"/>
      <c r="D44" s="11"/>
      <c r="E44" s="11"/>
      <c r="F44" s="11"/>
      <c r="G44" s="65">
        <v>661</v>
      </c>
      <c r="I44" s="16">
        <v>1</v>
      </c>
      <c r="J44" s="17">
        <v>10000</v>
      </c>
      <c r="K44" s="9">
        <v>951</v>
      </c>
      <c r="L44" s="10"/>
      <c r="M44" s="11"/>
      <c r="N44" s="12"/>
      <c r="Q44" s="64" t="s">
        <v>31</v>
      </c>
      <c r="R44" s="11"/>
      <c r="S44" s="11"/>
      <c r="T44" s="11"/>
      <c r="U44" s="11"/>
      <c r="V44" s="66">
        <v>640</v>
      </c>
      <c r="X44" s="16">
        <v>1</v>
      </c>
      <c r="Y44" s="17">
        <v>10000</v>
      </c>
      <c r="Z44" s="9">
        <v>941</v>
      </c>
      <c r="AA44" s="10"/>
      <c r="AB44" s="11"/>
      <c r="AC44" s="12"/>
    </row>
    <row r="45" spans="2:29" ht="15.75" thickBot="1" x14ac:dyDescent="0.3">
      <c r="B45" s="67" t="s">
        <v>32</v>
      </c>
      <c r="C45" s="68"/>
      <c r="D45" s="68"/>
      <c r="E45" s="68"/>
      <c r="F45" s="68"/>
      <c r="G45" s="69">
        <v>5067</v>
      </c>
      <c r="I45" s="30">
        <v>10001</v>
      </c>
      <c r="J45" s="31">
        <v>100000</v>
      </c>
      <c r="K45" s="9">
        <v>2342</v>
      </c>
      <c r="L45" s="19">
        <v>28</v>
      </c>
      <c r="M45" s="27">
        <v>1000</v>
      </c>
      <c r="N45" s="28">
        <v>10000</v>
      </c>
      <c r="Q45" s="67" t="s">
        <v>32</v>
      </c>
      <c r="R45" s="68"/>
      <c r="S45" s="68"/>
      <c r="T45" s="68"/>
      <c r="U45" s="68"/>
      <c r="V45" s="70">
        <v>4900</v>
      </c>
      <c r="X45" s="30">
        <v>10001</v>
      </c>
      <c r="Y45" s="31">
        <v>100000</v>
      </c>
      <c r="Z45" s="32">
        <v>2249</v>
      </c>
      <c r="AA45" s="24">
        <v>28.41</v>
      </c>
      <c r="AB45" s="27">
        <v>1000</v>
      </c>
      <c r="AC45" s="28">
        <v>10000</v>
      </c>
    </row>
    <row r="46" spans="2:29" ht="16.5" thickTop="1" thickBot="1" x14ac:dyDescent="0.3">
      <c r="I46" s="30">
        <v>100001</v>
      </c>
      <c r="J46" s="31">
        <v>500000</v>
      </c>
      <c r="K46" s="9">
        <v>4948</v>
      </c>
      <c r="L46" s="19">
        <v>183</v>
      </c>
      <c r="M46" s="27">
        <v>10000</v>
      </c>
      <c r="N46" s="28">
        <v>100000</v>
      </c>
      <c r="X46" s="39">
        <v>100001</v>
      </c>
      <c r="Y46" s="40"/>
      <c r="Z46" s="36">
        <v>4805</v>
      </c>
      <c r="AA46" s="41">
        <v>173.81</v>
      </c>
      <c r="AB46" s="42">
        <v>10000</v>
      </c>
      <c r="AC46" s="59">
        <v>100000</v>
      </c>
    </row>
    <row r="47" spans="2:29" ht="16.5" thickTop="1" thickBot="1" x14ac:dyDescent="0.3">
      <c r="I47" s="30">
        <v>500001</v>
      </c>
      <c r="J47" s="31"/>
      <c r="K47" s="9">
        <v>12270</v>
      </c>
      <c r="L47" s="19">
        <v>424</v>
      </c>
      <c r="M47" s="27">
        <v>10000</v>
      </c>
      <c r="N47" s="37">
        <v>500000</v>
      </c>
      <c r="X47" s="39"/>
      <c r="Y47" s="40"/>
      <c r="Z47" s="36"/>
      <c r="AA47" s="41"/>
      <c r="AB47" s="42"/>
      <c r="AC47" s="59"/>
    </row>
    <row r="48" spans="2:29" ht="16.5" thickTop="1" thickBot="1" x14ac:dyDescent="0.3">
      <c r="B48" s="157" t="s">
        <v>33</v>
      </c>
      <c r="C48" s="158"/>
      <c r="D48" s="158"/>
      <c r="E48" s="158"/>
      <c r="F48" s="158"/>
      <c r="G48" s="159"/>
      <c r="I48" s="38"/>
      <c r="J48" s="38"/>
      <c r="K48" s="38"/>
      <c r="L48" s="38"/>
      <c r="M48" s="38"/>
      <c r="N48" s="38"/>
      <c r="Q48" s="157" t="s">
        <v>33</v>
      </c>
      <c r="R48" s="158"/>
      <c r="S48" s="158"/>
      <c r="T48" s="158"/>
      <c r="U48" s="158"/>
      <c r="V48" s="159"/>
    </row>
    <row r="49" spans="2:24" ht="15.75" thickTop="1" x14ac:dyDescent="0.25">
      <c r="B49" s="2" t="s">
        <v>3</v>
      </c>
      <c r="C49" s="3" t="s">
        <v>3</v>
      </c>
      <c r="D49" s="4" t="s">
        <v>4</v>
      </c>
      <c r="E49" s="4" t="s">
        <v>5</v>
      </c>
      <c r="F49" s="3" t="s">
        <v>6</v>
      </c>
      <c r="G49" s="5" t="s">
        <v>7</v>
      </c>
      <c r="I49" s="38" t="s">
        <v>19</v>
      </c>
      <c r="J49" s="38"/>
      <c r="K49" s="44"/>
      <c r="L49" s="38"/>
      <c r="M49" s="38"/>
      <c r="N49" s="38"/>
      <c r="Q49" s="2" t="s">
        <v>3</v>
      </c>
      <c r="R49" s="3" t="s">
        <v>3</v>
      </c>
      <c r="S49" s="4" t="s">
        <v>4</v>
      </c>
      <c r="T49" s="4" t="s">
        <v>5</v>
      </c>
      <c r="U49" s="3" t="s">
        <v>6</v>
      </c>
      <c r="V49" s="5" t="s">
        <v>7</v>
      </c>
    </row>
    <row r="50" spans="2:24" x14ac:dyDescent="0.25">
      <c r="B50" s="16">
        <v>1</v>
      </c>
      <c r="C50" s="17">
        <v>100000</v>
      </c>
      <c r="D50" s="71">
        <v>0</v>
      </c>
      <c r="E50" s="19">
        <f>T50*(1+P50)</f>
        <v>2.6564999999999999</v>
      </c>
      <c r="F50" s="17">
        <v>1</v>
      </c>
      <c r="G50" s="12">
        <v>0</v>
      </c>
      <c r="I50" s="31">
        <f>IFERROR(VLOOKUP('Grading Fee Calcs'!C12,$I$44:$N$47,1),0)</f>
        <v>0</v>
      </c>
      <c r="J50" s="31">
        <f>IFERROR(VLOOKUP('Grading Fee Calcs'!C12,$I$44:$N$47,2),0)</f>
        <v>0</v>
      </c>
      <c r="K50" s="31">
        <f>IFERROR(VLOOKUP('Grading Fee Calcs'!C12,$I$44:$N$47,3),0)</f>
        <v>0</v>
      </c>
      <c r="L50" s="31">
        <f>IFERROR(VLOOKUP('Grading Fee Calcs'!C12,$I$44:$N$47,4),0)</f>
        <v>0</v>
      </c>
      <c r="M50" s="31">
        <f>IFERROR(VLOOKUP('Grading Fee Calcs'!C12,$I$44:$N$47,5),0)</f>
        <v>0</v>
      </c>
      <c r="N50" s="31">
        <f>IFERROR(VLOOKUP('Grading Fee Calcs'!C12,$I$44:$N$47,6),0)</f>
        <v>0</v>
      </c>
      <c r="P50" s="147">
        <v>0.05</v>
      </c>
      <c r="Q50" s="16">
        <v>1</v>
      </c>
      <c r="R50" s="17">
        <v>100000</v>
      </c>
      <c r="S50" s="71">
        <v>0</v>
      </c>
      <c r="T50" s="19">
        <v>2.5299999999999998</v>
      </c>
      <c r="U50" s="17">
        <v>1</v>
      </c>
      <c r="V50" s="12">
        <v>0</v>
      </c>
    </row>
    <row r="51" spans="2:24" ht="15.75" thickBot="1" x14ac:dyDescent="0.3">
      <c r="B51" s="72">
        <v>100001</v>
      </c>
      <c r="C51" s="73"/>
      <c r="D51" s="74">
        <f>C50*E50</f>
        <v>265650</v>
      </c>
      <c r="E51" s="19">
        <f>T51*(1+P51)</f>
        <v>1.3230000000000002</v>
      </c>
      <c r="F51" s="75">
        <v>1</v>
      </c>
      <c r="G51" s="76">
        <v>100000</v>
      </c>
      <c r="I51" s="31"/>
      <c r="J51" s="31"/>
      <c r="K51" s="48"/>
      <c r="L51" s="49"/>
      <c r="M51" s="27"/>
      <c r="N51" s="50"/>
      <c r="P51" s="148">
        <f>P50</f>
        <v>0.05</v>
      </c>
      <c r="Q51" s="72">
        <v>100001</v>
      </c>
      <c r="R51" s="73"/>
      <c r="S51" s="74">
        <f>R50*T50</f>
        <v>252999.99999999997</v>
      </c>
      <c r="T51" s="19">
        <v>1.26</v>
      </c>
      <c r="U51" s="75">
        <v>1</v>
      </c>
      <c r="V51" s="76">
        <v>100000</v>
      </c>
    </row>
    <row r="52" spans="2:24" ht="16.5" thickTop="1" thickBot="1" x14ac:dyDescent="0.3">
      <c r="B52" s="77">
        <v>20000</v>
      </c>
      <c r="C52" s="78" t="s">
        <v>34</v>
      </c>
      <c r="D52" s="78"/>
      <c r="E52" s="78"/>
      <c r="F52" s="78"/>
      <c r="G52" s="79"/>
      <c r="I52" s="51">
        <f>K50</f>
        <v>0</v>
      </c>
      <c r="J52" s="52" t="s">
        <v>21</v>
      </c>
      <c r="K52" s="48"/>
      <c r="L52" s="49"/>
      <c r="M52" s="27"/>
      <c r="N52" s="50"/>
      <c r="Q52" s="77">
        <v>20000</v>
      </c>
      <c r="R52" s="78" t="s">
        <v>34</v>
      </c>
      <c r="S52" s="78"/>
      <c r="T52" s="78"/>
      <c r="U52" s="78"/>
      <c r="V52" s="79"/>
    </row>
    <row r="53" spans="2:24" ht="15.75" thickTop="1" x14ac:dyDescent="0.25">
      <c r="B53" s="38"/>
      <c r="C53" s="38"/>
      <c r="D53" s="38"/>
      <c r="E53" s="38"/>
      <c r="F53" s="38"/>
      <c r="G53" s="38"/>
      <c r="I53" s="53">
        <f>'Grading Fee Calcs'!$C$12-N50</f>
        <v>0</v>
      </c>
      <c r="J53" s="52" t="s">
        <v>22</v>
      </c>
      <c r="K53" s="48"/>
      <c r="L53" s="49"/>
      <c r="M53" s="27"/>
      <c r="N53" s="50"/>
    </row>
    <row r="54" spans="2:24" x14ac:dyDescent="0.25">
      <c r="B54" s="38" t="s">
        <v>19</v>
      </c>
      <c r="C54" s="38"/>
      <c r="D54" s="44"/>
      <c r="E54" s="38"/>
      <c r="F54" s="38"/>
      <c r="G54" s="38"/>
      <c r="I54" s="54" t="e">
        <f>I53/M50</f>
        <v>#DIV/0!</v>
      </c>
      <c r="J54" s="52" t="s">
        <v>23</v>
      </c>
      <c r="K54" s="48"/>
      <c r="L54" s="49"/>
      <c r="M54" s="27"/>
      <c r="N54" s="50"/>
    </row>
    <row r="55" spans="2:24" x14ac:dyDescent="0.25">
      <c r="B55" s="80">
        <f>IFERROR(VLOOKUP('Grading Fee Calcs'!$C$12,$B$50:$G$51,1),0)</f>
        <v>0</v>
      </c>
      <c r="C55" s="31">
        <f>IFERROR(VLOOKUP('Grading Fee Calcs'!$C$12,$B$50:$G$51,2),0)</f>
        <v>0</v>
      </c>
      <c r="D55" s="31">
        <f>IFERROR(VLOOKUP('Grading Fee Calcs'!$C$12,$B$49:$G$51,3),0)</f>
        <v>0</v>
      </c>
      <c r="E55" s="31">
        <f>IFERROR(VLOOKUP('Grading Fee Calcs'!$C$12,$B$49:$G$51,4),0)</f>
        <v>0</v>
      </c>
      <c r="F55" s="31">
        <f>IFERROR(VLOOKUP('Grading Fee Calcs'!$C$12,$B$50:$G$51,5),0)</f>
        <v>0</v>
      </c>
      <c r="G55" s="31">
        <f>IFERROR(VLOOKUP('Grading Fee Calcs'!$C$12,$B$50:$G$51,6),0)</f>
        <v>0</v>
      </c>
      <c r="I55" s="51">
        <f>IF(L50=0,0,I54*L50)</f>
        <v>0</v>
      </c>
      <c r="J55" s="52" t="s">
        <v>24</v>
      </c>
      <c r="K55" s="48"/>
      <c r="L55" s="49"/>
      <c r="M55" s="27"/>
      <c r="N55" s="50"/>
    </row>
    <row r="56" spans="2:24" x14ac:dyDescent="0.25">
      <c r="B56" s="38"/>
      <c r="C56" s="38"/>
      <c r="D56" s="38"/>
      <c r="E56" s="38"/>
      <c r="F56" s="38"/>
      <c r="G56" s="38"/>
      <c r="I56" s="51">
        <f>I52+I55</f>
        <v>0</v>
      </c>
      <c r="J56" s="55" t="s">
        <v>25</v>
      </c>
      <c r="K56" s="38"/>
      <c r="L56" s="38"/>
      <c r="M56" s="38"/>
      <c r="N56" s="38"/>
    </row>
    <row r="57" spans="2:24" ht="15.75" thickBot="1" x14ac:dyDescent="0.3">
      <c r="B57" s="51">
        <f>D55</f>
        <v>0</v>
      </c>
      <c r="C57" s="52" t="s">
        <v>21</v>
      </c>
      <c r="D57" s="38"/>
      <c r="E57" s="38"/>
      <c r="F57" s="38"/>
      <c r="G57" s="38"/>
    </row>
    <row r="58" spans="2:24" ht="16.5" thickTop="1" thickBot="1" x14ac:dyDescent="0.3">
      <c r="B58" s="53">
        <f>'Grading Fee Calcs'!$C$12-G55</f>
        <v>0</v>
      </c>
      <c r="C58" s="52" t="s">
        <v>22</v>
      </c>
      <c r="D58" s="38"/>
      <c r="E58" s="38"/>
      <c r="F58" s="38"/>
      <c r="G58" s="38"/>
      <c r="I58" s="157" t="s">
        <v>35</v>
      </c>
      <c r="J58" s="158"/>
      <c r="K58" s="158"/>
      <c r="L58" s="158"/>
      <c r="M58" s="158"/>
      <c r="N58" s="159"/>
      <c r="O58" s="1" t="s">
        <v>36</v>
      </c>
      <c r="X58" s="81" t="s">
        <v>37</v>
      </c>
    </row>
    <row r="59" spans="2:24" ht="16.5" thickTop="1" thickBot="1" x14ac:dyDescent="0.3">
      <c r="B59" s="53" t="e">
        <f>CEILING(B58/F55,1)</f>
        <v>#DIV/0!</v>
      </c>
      <c r="C59" s="52" t="s">
        <v>23</v>
      </c>
      <c r="D59" s="38"/>
      <c r="E59" s="38"/>
      <c r="F59" s="38"/>
      <c r="G59" s="38"/>
      <c r="I59" s="82">
        <v>0.05</v>
      </c>
      <c r="J59" s="78" t="s">
        <v>38</v>
      </c>
      <c r="K59" s="78"/>
      <c r="L59" s="78"/>
      <c r="M59" s="78"/>
      <c r="N59" s="79"/>
      <c r="O59" s="9">
        <v>1125</v>
      </c>
      <c r="X59" s="83">
        <v>1202</v>
      </c>
    </row>
    <row r="60" spans="2:24" ht="16.5" thickTop="1" thickBot="1" x14ac:dyDescent="0.3">
      <c r="B60" s="51">
        <f>IF(E55=0,0,B59*E55)</f>
        <v>0</v>
      </c>
      <c r="C60" s="52" t="s">
        <v>24</v>
      </c>
      <c r="D60" s="38"/>
      <c r="E60" s="38"/>
      <c r="F60" s="38"/>
      <c r="G60" s="38"/>
    </row>
    <row r="61" spans="2:24" ht="16.5" thickTop="1" thickBot="1" x14ac:dyDescent="0.3">
      <c r="B61" s="51">
        <f>B57+B60</f>
        <v>0</v>
      </c>
      <c r="C61" s="55" t="s">
        <v>25</v>
      </c>
      <c r="D61" s="38"/>
      <c r="E61" s="38"/>
      <c r="F61" s="38"/>
      <c r="G61" s="38"/>
      <c r="I61" s="157" t="s">
        <v>39</v>
      </c>
      <c r="J61" s="158"/>
      <c r="K61" s="158"/>
      <c r="L61" s="158"/>
      <c r="M61" s="158"/>
      <c r="N61" s="159"/>
      <c r="O61" s="1" t="s">
        <v>40</v>
      </c>
      <c r="X61" s="81" t="s">
        <v>41</v>
      </c>
    </row>
    <row r="62" spans="2:24" ht="16.5" thickTop="1" thickBot="1" x14ac:dyDescent="0.3">
      <c r="I62" s="82">
        <v>0.1</v>
      </c>
      <c r="J62" s="78" t="s">
        <v>42</v>
      </c>
      <c r="K62" s="78"/>
      <c r="L62" s="78"/>
      <c r="M62" s="78"/>
      <c r="N62" s="79"/>
      <c r="O62" s="9">
        <v>1250</v>
      </c>
      <c r="X62" s="83">
        <v>1274</v>
      </c>
    </row>
    <row r="63" spans="2:24" ht="16.5" thickTop="1" thickBot="1" x14ac:dyDescent="0.3">
      <c r="B63" s="157" t="s">
        <v>43</v>
      </c>
      <c r="C63" s="158"/>
      <c r="D63" s="158"/>
      <c r="E63" s="158"/>
      <c r="F63" s="158"/>
      <c r="G63" s="159"/>
      <c r="Q63" s="157" t="s">
        <v>43</v>
      </c>
      <c r="R63" s="158"/>
      <c r="S63" s="158"/>
      <c r="T63" s="158"/>
      <c r="U63" s="158"/>
      <c r="V63" s="159"/>
    </row>
    <row r="64" spans="2:24" ht="16.5" thickTop="1" thickBot="1" x14ac:dyDescent="0.3">
      <c r="B64" s="9">
        <v>692</v>
      </c>
      <c r="C64" s="78" t="s">
        <v>44</v>
      </c>
      <c r="D64" s="78"/>
      <c r="E64" s="78"/>
      <c r="F64" s="78"/>
      <c r="G64" s="79"/>
      <c r="I64" s="157" t="s">
        <v>45</v>
      </c>
      <c r="J64" s="158"/>
      <c r="K64" s="158"/>
      <c r="L64" s="158"/>
      <c r="M64" s="158"/>
      <c r="N64" s="159"/>
      <c r="Q64" s="83">
        <v>670</v>
      </c>
      <c r="R64" s="78" t="s">
        <v>44</v>
      </c>
      <c r="S64" s="78"/>
      <c r="T64" s="78"/>
      <c r="U64" s="78"/>
      <c r="V64" s="79"/>
    </row>
    <row r="65" spans="2:22" ht="16.5" thickTop="1" thickBot="1" x14ac:dyDescent="0.3">
      <c r="I65" s="82">
        <v>0.05</v>
      </c>
      <c r="J65" s="78" t="s">
        <v>38</v>
      </c>
      <c r="K65" s="78"/>
      <c r="L65" s="78"/>
      <c r="M65" s="78"/>
      <c r="N65" s="79"/>
    </row>
    <row r="66" spans="2:22" ht="16.5" thickTop="1" thickBot="1" x14ac:dyDescent="0.3">
      <c r="B66" s="157" t="s">
        <v>46</v>
      </c>
      <c r="C66" s="158"/>
      <c r="D66" s="158"/>
      <c r="E66" s="158"/>
      <c r="F66" s="158"/>
      <c r="G66" s="159"/>
      <c r="Q66" s="157" t="s">
        <v>46</v>
      </c>
      <c r="R66" s="158"/>
      <c r="S66" s="158"/>
      <c r="T66" s="158"/>
      <c r="U66" s="158"/>
      <c r="V66" s="159"/>
    </row>
    <row r="67" spans="2:22" ht="16.5" thickTop="1" thickBot="1" x14ac:dyDescent="0.3">
      <c r="B67" s="9">
        <v>925</v>
      </c>
      <c r="C67" s="84" t="s">
        <v>47</v>
      </c>
      <c r="D67" s="84"/>
      <c r="E67" s="84"/>
      <c r="F67" s="84"/>
      <c r="G67" s="85"/>
      <c r="I67" s="157" t="s">
        <v>48</v>
      </c>
      <c r="J67" s="158"/>
      <c r="K67" s="158"/>
      <c r="L67" s="158"/>
      <c r="M67" s="158"/>
      <c r="N67" s="159"/>
      <c r="Q67" s="86">
        <v>895</v>
      </c>
      <c r="R67" s="84" t="s">
        <v>47</v>
      </c>
      <c r="S67" s="84"/>
      <c r="T67" s="84"/>
      <c r="U67" s="84"/>
      <c r="V67" s="85"/>
    </row>
    <row r="68" spans="2:22" ht="16.5" thickTop="1" thickBot="1" x14ac:dyDescent="0.3">
      <c r="B68" s="9">
        <v>925</v>
      </c>
      <c r="C68" s="87" t="s">
        <v>49</v>
      </c>
      <c r="D68" s="87"/>
      <c r="E68" s="87"/>
      <c r="F68" s="87"/>
      <c r="G68" s="88"/>
      <c r="I68" s="82">
        <v>0.1</v>
      </c>
      <c r="J68" s="78" t="s">
        <v>42</v>
      </c>
      <c r="K68" s="78"/>
      <c r="L68" s="78"/>
      <c r="M68" s="78"/>
      <c r="N68" s="79"/>
      <c r="Q68" s="89">
        <v>895</v>
      </c>
      <c r="R68" s="87" t="s">
        <v>49</v>
      </c>
      <c r="S68" s="87"/>
      <c r="T68" s="87"/>
      <c r="U68" s="87"/>
      <c r="V68" s="88"/>
    </row>
    <row r="69" spans="2:22" ht="16.5" thickTop="1" thickBot="1" x14ac:dyDescent="0.3"/>
    <row r="70" spans="2:22" ht="16.5" thickTop="1" thickBot="1" x14ac:dyDescent="0.3">
      <c r="B70" s="157" t="s">
        <v>50</v>
      </c>
      <c r="C70" s="158"/>
      <c r="D70" s="158"/>
      <c r="E70" s="158"/>
      <c r="F70" s="158"/>
      <c r="G70" s="159"/>
      <c r="I70" s="157" t="s">
        <v>51</v>
      </c>
      <c r="J70" s="158"/>
      <c r="K70" s="158"/>
      <c r="L70" s="158"/>
      <c r="M70" s="158"/>
      <c r="N70" s="159"/>
      <c r="Q70" s="157" t="s">
        <v>50</v>
      </c>
      <c r="R70" s="158"/>
      <c r="S70" s="158"/>
      <c r="T70" s="158"/>
      <c r="U70" s="158"/>
      <c r="V70" s="159"/>
    </row>
    <row r="71" spans="2:22" ht="16.5" thickTop="1" thickBot="1" x14ac:dyDescent="0.3">
      <c r="B71" s="82">
        <v>0.5</v>
      </c>
      <c r="C71" s="78" t="s">
        <v>52</v>
      </c>
      <c r="D71" s="78"/>
      <c r="E71" s="78"/>
      <c r="F71" s="78"/>
      <c r="G71" s="79"/>
      <c r="I71" s="83">
        <v>1323.48</v>
      </c>
      <c r="J71" s="78" t="s">
        <v>53</v>
      </c>
      <c r="K71" s="78"/>
      <c r="L71" s="78"/>
      <c r="M71" s="78"/>
      <c r="N71" s="79"/>
      <c r="Q71" s="82">
        <v>0.5</v>
      </c>
      <c r="R71" s="78" t="s">
        <v>52</v>
      </c>
      <c r="S71" s="78"/>
      <c r="T71" s="78"/>
      <c r="U71" s="78"/>
      <c r="V71" s="79"/>
    </row>
    <row r="72" spans="2:22" ht="16.5" thickTop="1" thickBot="1" x14ac:dyDescent="0.3"/>
    <row r="73" spans="2:22" ht="16.5" thickTop="1" thickBot="1" x14ac:dyDescent="0.3">
      <c r="I73" s="157" t="s">
        <v>54</v>
      </c>
      <c r="J73" s="158"/>
      <c r="K73" s="158"/>
      <c r="L73" s="158"/>
      <c r="M73" s="158"/>
      <c r="N73" s="159"/>
    </row>
    <row r="74" spans="2:22" ht="16.5" thickTop="1" thickBot="1" x14ac:dyDescent="0.3">
      <c r="I74" s="82">
        <v>0.15</v>
      </c>
      <c r="J74" s="78" t="s">
        <v>42</v>
      </c>
      <c r="K74" s="78"/>
      <c r="L74" s="78"/>
      <c r="M74" s="78"/>
      <c r="N74" s="79"/>
    </row>
    <row r="75" spans="2:22" ht="46.5" thickTop="1" thickBot="1" x14ac:dyDescent="0.3">
      <c r="B75" s="160" t="s">
        <v>55</v>
      </c>
      <c r="C75" s="161"/>
      <c r="D75" s="90" t="s">
        <v>56</v>
      </c>
      <c r="E75" s="162" t="s">
        <v>57</v>
      </c>
      <c r="F75" s="163"/>
      <c r="Q75" s="160" t="s">
        <v>55</v>
      </c>
      <c r="R75" s="161"/>
      <c r="S75" s="90" t="s">
        <v>56</v>
      </c>
      <c r="T75" s="162" t="s">
        <v>57</v>
      </c>
      <c r="U75" s="163"/>
    </row>
    <row r="76" spans="2:22" ht="16.5" thickTop="1" thickBot="1" x14ac:dyDescent="0.3">
      <c r="B76" s="91"/>
      <c r="C76" s="92" t="s">
        <v>58</v>
      </c>
      <c r="D76" s="93"/>
      <c r="E76" s="94">
        <v>0.1</v>
      </c>
      <c r="F76" s="95" t="s">
        <v>59</v>
      </c>
      <c r="I76" s="157" t="s">
        <v>60</v>
      </c>
      <c r="J76" s="158"/>
      <c r="K76" s="158"/>
      <c r="L76" s="158"/>
      <c r="M76" s="158"/>
      <c r="N76" s="159"/>
      <c r="Q76" s="91"/>
      <c r="R76" s="92" t="s">
        <v>58</v>
      </c>
      <c r="S76" s="93"/>
      <c r="T76" s="94">
        <v>0.06</v>
      </c>
      <c r="U76" s="95" t="s">
        <v>59</v>
      </c>
    </row>
    <row r="77" spans="2:22" ht="15.75" thickTop="1" x14ac:dyDescent="0.25">
      <c r="B77" s="96"/>
      <c r="C77" s="92" t="s">
        <v>61</v>
      </c>
      <c r="D77" s="9">
        <v>56</v>
      </c>
      <c r="E77" s="94">
        <v>0.1</v>
      </c>
      <c r="F77" s="95" t="s">
        <v>59</v>
      </c>
      <c r="I77" s="97">
        <v>284</v>
      </c>
      <c r="J77" t="s">
        <v>62</v>
      </c>
      <c r="Q77" s="96"/>
      <c r="R77" s="92" t="s">
        <v>61</v>
      </c>
      <c r="S77" s="9">
        <v>49</v>
      </c>
      <c r="T77" s="94">
        <v>0.06</v>
      </c>
      <c r="U77" s="95" t="s">
        <v>59</v>
      </c>
    </row>
    <row r="78" spans="2:22" x14ac:dyDescent="0.25">
      <c r="B78" s="98"/>
      <c r="C78" s="99" t="s">
        <v>63</v>
      </c>
      <c r="D78" s="9">
        <v>56</v>
      </c>
      <c r="E78" s="94">
        <v>0.1</v>
      </c>
      <c r="F78" s="95" t="s">
        <v>59</v>
      </c>
      <c r="I78" s="97">
        <v>206</v>
      </c>
      <c r="J78" t="s">
        <v>64</v>
      </c>
      <c r="Q78" s="98"/>
      <c r="R78" s="99" t="s">
        <v>63</v>
      </c>
      <c r="S78" s="9">
        <v>49</v>
      </c>
      <c r="T78" s="94">
        <v>0.06</v>
      </c>
      <c r="U78" s="95" t="s">
        <v>59</v>
      </c>
    </row>
    <row r="79" spans="2:22" x14ac:dyDescent="0.25">
      <c r="B79" s="98"/>
      <c r="C79" s="99" t="s">
        <v>65</v>
      </c>
      <c r="D79" s="9">
        <v>56</v>
      </c>
      <c r="E79" s="94">
        <v>0.1</v>
      </c>
      <c r="F79" s="95" t="s">
        <v>59</v>
      </c>
      <c r="Q79" s="98"/>
      <c r="R79" s="99" t="s">
        <v>65</v>
      </c>
      <c r="S79" s="9">
        <v>49</v>
      </c>
      <c r="T79" s="94">
        <v>0.06</v>
      </c>
      <c r="U79" s="95" t="s">
        <v>59</v>
      </c>
    </row>
    <row r="80" spans="2:22" x14ac:dyDescent="0.25">
      <c r="B80" s="98"/>
      <c r="C80" s="99" t="s">
        <v>66</v>
      </c>
      <c r="D80" s="9">
        <v>56</v>
      </c>
      <c r="E80" s="94">
        <v>0.1</v>
      </c>
      <c r="F80" s="95" t="s">
        <v>59</v>
      </c>
      <c r="Q80" s="98"/>
      <c r="R80" s="99" t="s">
        <v>66</v>
      </c>
      <c r="S80" s="9">
        <v>49</v>
      </c>
      <c r="T80" s="94">
        <v>0.06</v>
      </c>
      <c r="U80" s="95" t="s">
        <v>59</v>
      </c>
    </row>
    <row r="81" spans="2:21" x14ac:dyDescent="0.25">
      <c r="B81" s="98"/>
      <c r="C81" s="99" t="s">
        <v>67</v>
      </c>
      <c r="D81" s="9">
        <v>56</v>
      </c>
      <c r="E81" s="94">
        <v>0.1</v>
      </c>
      <c r="F81" s="95" t="s">
        <v>59</v>
      </c>
      <c r="Q81" s="98"/>
      <c r="R81" s="99" t="s">
        <v>67</v>
      </c>
      <c r="S81" s="9">
        <v>49</v>
      </c>
      <c r="T81" s="94">
        <v>0.06</v>
      </c>
      <c r="U81" s="95" t="s">
        <v>59</v>
      </c>
    </row>
    <row r="82" spans="2:21" x14ac:dyDescent="0.25">
      <c r="B82" s="98"/>
      <c r="C82" s="99" t="s">
        <v>68</v>
      </c>
      <c r="D82" s="9">
        <f t="shared" ref="D82:D84" si="0">ROUNDDOWN(S82*(1+$O$4),0)</f>
        <v>0</v>
      </c>
      <c r="E82" s="94">
        <v>0.1</v>
      </c>
      <c r="F82" s="95" t="s">
        <v>59</v>
      </c>
      <c r="Q82" s="98"/>
      <c r="R82" s="99" t="s">
        <v>68</v>
      </c>
      <c r="S82" s="9">
        <v>0</v>
      </c>
      <c r="T82" s="94">
        <v>0.06</v>
      </c>
      <c r="U82" s="95" t="s">
        <v>59</v>
      </c>
    </row>
    <row r="83" spans="2:21" x14ac:dyDescent="0.25">
      <c r="B83" s="98"/>
      <c r="C83" s="99" t="s">
        <v>69</v>
      </c>
      <c r="D83" s="9">
        <f t="shared" si="0"/>
        <v>0</v>
      </c>
      <c r="E83" s="94">
        <v>0.1</v>
      </c>
      <c r="F83" s="95" t="s">
        <v>59</v>
      </c>
      <c r="Q83" s="98"/>
      <c r="R83" s="99" t="s">
        <v>69</v>
      </c>
      <c r="S83" s="9">
        <v>0</v>
      </c>
      <c r="T83" s="94">
        <v>0.06</v>
      </c>
      <c r="U83" s="95" t="s">
        <v>59</v>
      </c>
    </row>
    <row r="84" spans="2:21" ht="15.75" thickBot="1" x14ac:dyDescent="0.3">
      <c r="B84" s="100"/>
      <c r="C84" s="101" t="s">
        <v>70</v>
      </c>
      <c r="D84" s="9">
        <f t="shared" si="0"/>
        <v>0</v>
      </c>
      <c r="E84" s="94">
        <v>0.1</v>
      </c>
      <c r="F84" s="95" t="s">
        <v>59</v>
      </c>
      <c r="Q84" s="100"/>
      <c r="R84" s="101" t="s">
        <v>70</v>
      </c>
      <c r="S84" s="34">
        <v>0</v>
      </c>
      <c r="T84" s="94">
        <v>0.06</v>
      </c>
      <c r="U84" s="95" t="s">
        <v>59</v>
      </c>
    </row>
    <row r="85" spans="2:21" ht="15.75" thickTop="1" x14ac:dyDescent="0.25"/>
    <row r="91" spans="2:21" x14ac:dyDescent="0.25">
      <c r="B91" s="146"/>
    </row>
    <row r="92" spans="2:21" x14ac:dyDescent="0.25">
      <c r="B92" s="146"/>
    </row>
  </sheetData>
  <sheetProtection algorithmName="SHA-512" hashValue="vOVYgtn65/AkbabyyvXBEfE+dUqpa082MQMDRup2WN/YdFct2Hx+kbA4IM9I9FW6I4RygTIf7Avy9viwhdMkzw==" saltValue="NcCs9JfdJTxv7U0cDBxvkA==" spinCount="100000" sheet="1" objects="1" scenarios="1"/>
  <mergeCells count="33">
    <mergeCell ref="B2:G2"/>
    <mergeCell ref="I2:K2"/>
    <mergeCell ref="Q2:V2"/>
    <mergeCell ref="X2:Z2"/>
    <mergeCell ref="I14:K14"/>
    <mergeCell ref="X14:Z14"/>
    <mergeCell ref="B22:G22"/>
    <mergeCell ref="Q22:V22"/>
    <mergeCell ref="I26:N26"/>
    <mergeCell ref="X26:AC26"/>
    <mergeCell ref="B42:G42"/>
    <mergeCell ref="I42:N42"/>
    <mergeCell ref="Q42:V42"/>
    <mergeCell ref="X42:AC42"/>
    <mergeCell ref="B48:G48"/>
    <mergeCell ref="Q48:V48"/>
    <mergeCell ref="I58:N58"/>
    <mergeCell ref="I61:N61"/>
    <mergeCell ref="B63:G63"/>
    <mergeCell ref="Q63:V63"/>
    <mergeCell ref="I76:N76"/>
    <mergeCell ref="I64:N64"/>
    <mergeCell ref="B66:G66"/>
    <mergeCell ref="Q66:V66"/>
    <mergeCell ref="I67:N67"/>
    <mergeCell ref="B70:G70"/>
    <mergeCell ref="I70:N70"/>
    <mergeCell ref="Q70:V70"/>
    <mergeCell ref="I73:N73"/>
    <mergeCell ref="B75:C75"/>
    <mergeCell ref="E75:F75"/>
    <mergeCell ref="Q75:R75"/>
    <mergeCell ref="T75:U7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Grading Fee Calcs</vt:lpstr>
      <vt:lpstr>Tables</vt:lpstr>
    </vt:vector>
  </TitlesOfParts>
  <Company>City of Santa Clarita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Ronil Santa Ana</dc:creator>
  <cp:lastModifiedBy>Ronil Santa Ana</cp:lastModifiedBy>
  <dcterms:created xsi:type="dcterms:W3CDTF">2024-08-14T15:37:21Z</dcterms:created>
  <dcterms:modified xsi:type="dcterms:W3CDTF">2025-08-22T00:14:58Z</dcterms:modified>
</cp:coreProperties>
</file>