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test\"/>
    </mc:Choice>
  </mc:AlternateContent>
  <xr:revisionPtr revIDLastSave="0" documentId="13_ncr:1_{AC693EB5-94F7-4815-ABD2-BE905733A990}" xr6:coauthVersionLast="36" xr6:coauthVersionMax="36" xr10:uidLastSave="{00000000-0000-0000-0000-000000000000}"/>
  <workbookProtection workbookAlgorithmName="SHA-512" workbookHashValue="yt61/Cvs3ZenLIO5vocto4Y83IzQROPZuG5DJTHwJsolN+7xvYTaSODq34H/BFsI8uUP5ztJyzRkx3BU6GgZOQ==" workbookSaltValue="yFdyR6+zJn/T6EJ7tNIuWQ==" workbookSpinCount="100000" lockStructure="1"/>
  <bookViews>
    <workbookView xWindow="0" yWindow="0" windowWidth="28800" windowHeight="14025" xr2:uid="{00000000-000D-0000-FFFF-FFFF00000000}"/>
  </bookViews>
  <sheets>
    <sheet name="street" sheetId="1" r:id="rId1"/>
    <sheet name="tables" sheetId="2" state="hidden" r:id="rId2"/>
  </sheets>
  <definedNames>
    <definedName name="_xlnm.Print_Area" localSheetId="0">street!$A$1:$G$308</definedName>
  </definedNames>
  <calcPr calcId="191029"/>
</workbook>
</file>

<file path=xl/calcChain.xml><?xml version="1.0" encoding="utf-8"?>
<calcChain xmlns="http://schemas.openxmlformats.org/spreadsheetml/2006/main">
  <c r="F124" i="1" l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5" i="1"/>
  <c r="F146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8" i="1"/>
  <c r="H169" i="1"/>
  <c r="H170" i="1"/>
  <c r="H173" i="1"/>
  <c r="H175" i="1"/>
  <c r="H176" i="1"/>
  <c r="H177" i="1"/>
  <c r="H180" i="1"/>
  <c r="H182" i="1"/>
  <c r="H183" i="1"/>
  <c r="H184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70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8" i="1"/>
  <c r="I169" i="1"/>
  <c r="I170" i="1"/>
  <c r="I173" i="1"/>
  <c r="I174" i="1"/>
  <c r="I175" i="1"/>
  <c r="I176" i="1"/>
  <c r="I177" i="1"/>
  <c r="I180" i="1"/>
  <c r="I182" i="1"/>
  <c r="I183" i="1"/>
  <c r="I184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5" i="1" l="1"/>
  <c r="H255" i="1"/>
  <c r="B256" i="1" s="1"/>
  <c r="F70" i="1" s="1"/>
  <c r="B308" i="1"/>
  <c r="B307" i="1"/>
  <c r="B302" i="1"/>
  <c r="B301" i="1"/>
  <c r="D292" i="1"/>
  <c r="D291" i="1"/>
  <c r="B292" i="1"/>
  <c r="B291" i="1"/>
  <c r="B290" i="1"/>
  <c r="F90" i="1" l="1"/>
  <c r="F156" i="1"/>
  <c r="F213" i="1"/>
  <c r="F251" i="1"/>
  <c r="F108" i="1"/>
  <c r="F189" i="1"/>
  <c r="F228" i="1"/>
  <c r="F87" i="1"/>
  <c r="F151" i="1"/>
  <c r="F210" i="1"/>
  <c r="F248" i="1"/>
  <c r="F196" i="1"/>
  <c r="F161" i="1"/>
  <c r="F218" i="1"/>
  <c r="F96" i="1"/>
  <c r="F202" i="1"/>
  <c r="F79" i="1"/>
  <c r="F116" i="1"/>
  <c r="F113" i="1"/>
  <c r="F250" i="1"/>
  <c r="F155" i="1"/>
  <c r="F162" i="1"/>
  <c r="F72" i="1"/>
  <c r="F114" i="1"/>
  <c r="F197" i="1"/>
  <c r="F234" i="1"/>
  <c r="F95" i="1"/>
  <c r="F159" i="1"/>
  <c r="F217" i="1"/>
  <c r="F224" i="1"/>
  <c r="F163" i="1"/>
  <c r="F123" i="1"/>
  <c r="F205" i="1"/>
  <c r="F82" i="1"/>
  <c r="F188" i="1"/>
  <c r="F249" i="1"/>
  <c r="F104" i="1"/>
  <c r="F99" i="1"/>
  <c r="F237" i="1"/>
  <c r="F117" i="1"/>
  <c r="F106" i="1"/>
  <c r="F180" i="1"/>
  <c r="F226" i="1"/>
  <c r="F80" i="1"/>
  <c r="F120" i="1"/>
  <c r="F203" i="1"/>
  <c r="F240" i="1"/>
  <c r="F103" i="1"/>
  <c r="F165" i="1"/>
  <c r="F223" i="1"/>
  <c r="F166" i="1"/>
  <c r="F71" i="1"/>
  <c r="F97" i="1"/>
  <c r="F191" i="1"/>
  <c r="F252" i="1"/>
  <c r="F157" i="1"/>
  <c r="F236" i="1"/>
  <c r="F74" i="1"/>
  <c r="F85" i="1"/>
  <c r="F225" i="1"/>
  <c r="F105" i="1"/>
  <c r="F98" i="1"/>
  <c r="F220" i="1"/>
  <c r="F112" i="1"/>
  <c r="F195" i="1"/>
  <c r="F232" i="1"/>
  <c r="F86" i="1"/>
  <c r="F150" i="1"/>
  <c r="F209" i="1"/>
  <c r="F247" i="1"/>
  <c r="F109" i="1"/>
  <c r="F190" i="1"/>
  <c r="F229" i="1"/>
  <c r="F88" i="1"/>
  <c r="F243" i="1"/>
  <c r="F83" i="1"/>
  <c r="F160" i="1"/>
  <c r="F239" i="1"/>
  <c r="F119" i="1"/>
  <c r="F211" i="1"/>
  <c r="F246" i="1"/>
  <c r="F219" i="1"/>
  <c r="F212" i="1"/>
  <c r="F89" i="1"/>
  <c r="F118" i="1"/>
  <c r="F201" i="1"/>
  <c r="F238" i="1"/>
  <c r="F94" i="1"/>
  <c r="F158" i="1"/>
  <c r="F215" i="1"/>
  <c r="F73" i="1"/>
  <c r="F115" i="1"/>
  <c r="F198" i="1"/>
  <c r="F235" i="1"/>
  <c r="F233" i="1"/>
  <c r="F231" i="1"/>
  <c r="F242" i="1"/>
  <c r="F122" i="1"/>
  <c r="F227" i="1"/>
  <c r="F107" i="1"/>
  <c r="F199" i="1"/>
  <c r="F208" i="1"/>
  <c r="F192" i="1"/>
  <c r="F200" i="1"/>
  <c r="F75" i="1"/>
  <c r="F84" i="1"/>
  <c r="F148" i="1"/>
  <c r="F207" i="1"/>
  <c r="F244" i="1"/>
  <c r="F100" i="1"/>
  <c r="F164" i="1"/>
  <c r="F222" i="1"/>
  <c r="F81" i="1"/>
  <c r="F121" i="1"/>
  <c r="F204" i="1"/>
  <c r="F241" i="1"/>
  <c r="F221" i="1"/>
  <c r="F206" i="1"/>
  <c r="F230" i="1"/>
  <c r="F110" i="1"/>
  <c r="F214" i="1"/>
  <c r="F93" i="1"/>
  <c r="F154" i="1"/>
  <c r="F149" i="1"/>
  <c r="F111" i="1"/>
  <c r="F173" i="1"/>
  <c r="F174" i="1" s="1"/>
  <c r="F76" i="1"/>
  <c r="F62" i="2"/>
  <c r="E62" i="2"/>
  <c r="D62" i="2"/>
  <c r="C62" i="2"/>
  <c r="B62" i="2"/>
  <c r="A62" i="2"/>
  <c r="F253" i="1" l="1"/>
  <c r="A64" i="2"/>
  <c r="B56" i="1" s="1"/>
  <c r="F260" i="1" l="1"/>
  <c r="F181" i="1" l="1"/>
  <c r="B44" i="1" s="1"/>
  <c r="B43" i="1"/>
  <c r="B45" i="1"/>
  <c r="F272" i="1"/>
  <c r="F273" i="1" s="1"/>
  <c r="F167" i="1" l="1"/>
  <c r="F274" i="1"/>
  <c r="F275" i="1" s="1"/>
  <c r="F276" i="1" s="1"/>
  <c r="F278" i="1" s="1"/>
  <c r="F255" i="1" l="1"/>
  <c r="J255" i="1" s="1"/>
  <c r="F283" i="1"/>
  <c r="E16" i="2" s="1"/>
  <c r="B42" i="1"/>
  <c r="A35" i="2"/>
  <c r="B46" i="1" l="1"/>
  <c r="B57" i="1" s="1"/>
  <c r="F261" i="1"/>
  <c r="F262" i="1" s="1"/>
  <c r="A16" i="2"/>
  <c r="B16" i="2"/>
  <c r="C16" i="2"/>
  <c r="A18" i="2" s="1"/>
  <c r="F16" i="2"/>
  <c r="A19" i="2" s="1"/>
  <c r="A20" i="2" s="1"/>
  <c r="D16" i="2"/>
  <c r="B38" i="2"/>
  <c r="D38" i="2"/>
  <c r="E38" i="2"/>
  <c r="F38" i="2"/>
  <c r="B40" i="2" s="1"/>
  <c r="A38" i="2"/>
  <c r="C38" i="2"/>
  <c r="B39" i="2" s="1"/>
  <c r="F263" i="1" l="1"/>
  <c r="A21" i="2"/>
  <c r="A22" i="2" s="1"/>
  <c r="F284" i="1" s="1"/>
  <c r="B55" i="1" s="1"/>
  <c r="B58" i="1" s="1"/>
  <c r="B42" i="2"/>
  <c r="B43" i="2" s="1"/>
  <c r="F277" i="1" s="1"/>
  <c r="B51" i="1" s="1"/>
  <c r="B52" i="1" s="1"/>
  <c r="A34" i="2" l="1"/>
  <c r="D37" i="2" s="1"/>
  <c r="E37" i="2" l="1"/>
  <c r="C37" i="2"/>
  <c r="A39" i="2" s="1"/>
  <c r="F37" i="2"/>
  <c r="A40" i="2" s="1"/>
  <c r="A42" i="2" s="1"/>
  <c r="A37" i="2"/>
  <c r="B37" i="2"/>
  <c r="A43" i="2" l="1"/>
  <c r="F264" i="1" s="1"/>
  <c r="B62" i="1" s="1"/>
  <c r="F265" i="1"/>
  <c r="B49" i="1" s="1"/>
  <c r="B50" i="1" s="1"/>
  <c r="B59" i="1"/>
  <c r="B63" i="1" s="1"/>
  <c r="B64" i="1" l="1"/>
</calcChain>
</file>

<file path=xl/sharedStrings.xml><?xml version="1.0" encoding="utf-8"?>
<sst xmlns="http://schemas.openxmlformats.org/spreadsheetml/2006/main" count="521" uniqueCount="307">
  <si>
    <t>Item</t>
  </si>
  <si>
    <t>Quantity</t>
  </si>
  <si>
    <t>Unit Cost</t>
  </si>
  <si>
    <t>Total Cost</t>
  </si>
  <si>
    <t>Pavement Asphalt</t>
  </si>
  <si>
    <t>P.C. Concrete</t>
  </si>
  <si>
    <t>Curb and Gutter</t>
  </si>
  <si>
    <t>Miscellaneous Items</t>
  </si>
  <si>
    <t>Cost Per L.F. of Local Street - Case D (Estimate over $50,000)</t>
  </si>
  <si>
    <t xml:space="preserve">     (1)  Curb, Gutter, Sidewalk, Pavement, Base</t>
  </si>
  <si>
    <t xml:space="preserve">           40' between curbs (sidewalk @ property line)</t>
  </si>
  <si>
    <t xml:space="preserve">           36' between curbs (sidewalk @ property line)</t>
  </si>
  <si>
    <t xml:space="preserve">           34' between curbs (sidewalk @ property line)</t>
  </si>
  <si>
    <t xml:space="preserve">           40' between curbs (sidewalk @ curb)</t>
  </si>
  <si>
    <t xml:space="preserve">           36' between curbs (sidewalk @ curb)</t>
  </si>
  <si>
    <t xml:space="preserve">           34' between curbs (sidewalk @ curb)</t>
  </si>
  <si>
    <t xml:space="preserve">     (2)  A.C. Inverted Shoulder Section With Base</t>
  </si>
  <si>
    <t xml:space="preserve">           36' between E.P. (14'/4')</t>
  </si>
  <si>
    <t xml:space="preserve">           36' between E.C. (14'/4' with 4' conc. flowline)</t>
  </si>
  <si>
    <t xml:space="preserve">           30' between E.P. (12'/3')</t>
  </si>
  <si>
    <t xml:space="preserve">           30' between E.C. (12'/3' with conc. flowline)</t>
  </si>
  <si>
    <t xml:space="preserve">           Cul-de-sac (standard)</t>
  </si>
  <si>
    <t xml:space="preserve">           Cul-de-sac (offset)</t>
  </si>
  <si>
    <t xml:space="preserve">           Knuckle (standard)</t>
  </si>
  <si>
    <t xml:space="preserve">           Intersection approach (new) with cross gutter</t>
  </si>
  <si>
    <t xml:space="preserve">           Intersection approach (new) without cross gutter</t>
  </si>
  <si>
    <t xml:space="preserve">           Intersection approach (at existing streets)</t>
  </si>
  <si>
    <t xml:space="preserve">                with cross gutter</t>
  </si>
  <si>
    <t xml:space="preserve">                without cross gutter</t>
  </si>
  <si>
    <t>Drainage Facilities</t>
  </si>
  <si>
    <t>Catch Basins</t>
  </si>
  <si>
    <t xml:space="preserve">Signing </t>
  </si>
  <si>
    <t>Striping (2-Coat Paint)</t>
  </si>
  <si>
    <t>Valuation Total (R)</t>
  </si>
  <si>
    <t>Plan Check Fee (S)</t>
  </si>
  <si>
    <t xml:space="preserve">$100,001 &amp; over </t>
  </si>
  <si>
    <t>/ SF</t>
  </si>
  <si>
    <t>/ CY</t>
  </si>
  <si>
    <t>/ LF</t>
  </si>
  <si>
    <t>&gt;$50k</t>
  </si>
  <si>
    <t>&lt;$50k</t>
  </si>
  <si>
    <t xml:space="preserve"> ( C )</t>
  </si>
  <si>
    <t>( A )</t>
  </si>
  <si>
    <t>( B )</t>
  </si>
  <si>
    <t>( E )</t>
  </si>
  <si>
    <t>( D )</t>
  </si>
  <si>
    <t>( F )</t>
  </si>
  <si>
    <t>( G )</t>
  </si>
  <si>
    <t>( H )</t>
  </si>
  <si>
    <t>( J )</t>
  </si>
  <si>
    <t>( I )</t>
  </si>
  <si>
    <t>( K )</t>
  </si>
  <si>
    <t>( M )</t>
  </si>
  <si>
    <t>( N )</t>
  </si>
  <si>
    <t>( O )</t>
  </si>
  <si>
    <t>( P )</t>
  </si>
  <si>
    <t>( Q )</t>
  </si>
  <si>
    <t>( L )</t>
  </si>
  <si>
    <t xml:space="preserve">Street Tree Subtotal = </t>
  </si>
  <si>
    <t xml:space="preserve">Contingency (15% x L) = </t>
  </si>
  <si>
    <t xml:space="preserve">Inflation [12% x (L+M)] = </t>
  </si>
  <si>
    <t xml:space="preserve">Improvement Total (L+M+N) = </t>
  </si>
  <si>
    <t>round up to nearest hundred</t>
  </si>
  <si>
    <t xml:space="preserve">Traffic Control Plan (5% x E) = </t>
  </si>
  <si>
    <t xml:space="preserve">Contingency [15% x (E+F)] = </t>
  </si>
  <si>
    <t xml:space="preserve">Inflation [12% x (E+F+G)] = </t>
  </si>
  <si>
    <t xml:space="preserve">Improvement Total (E+F+G+H) = </t>
  </si>
  <si>
    <t>( R )</t>
  </si>
  <si>
    <t>( S )</t>
  </si>
  <si>
    <t xml:space="preserve">STREET IMPROVEMENT SUBTOTAL = </t>
  </si>
  <si>
    <t xml:space="preserve">STREET LIGHTING SUBTOTAL = </t>
  </si>
  <si>
    <t xml:space="preserve">UNDERGROUND UTILITY SUBTOTAL = </t>
  </si>
  <si>
    <t>City of Santa Clarita</t>
  </si>
  <si>
    <t>Prepared by:</t>
  </si>
  <si>
    <t>Approved by:</t>
  </si>
  <si>
    <t>A.C. (removal)</t>
  </si>
  <si>
    <t xml:space="preserve">A.C. (coldmill) </t>
  </si>
  <si>
    <t>Sidewalk (4" Thick)</t>
  </si>
  <si>
    <t>Alley Intersection (6")</t>
  </si>
  <si>
    <t>Cross-Gutter (8")</t>
  </si>
  <si>
    <t>Driveway (4")</t>
  </si>
  <si>
    <t>Local Depression (3")</t>
  </si>
  <si>
    <t>Driveway (6" -commercial)</t>
  </si>
  <si>
    <t>Curb Ramp (with detectable warning surface)</t>
  </si>
  <si>
    <t>Pavement (9")</t>
  </si>
  <si>
    <t>Grouted Rip Rap (6"-12")</t>
  </si>
  <si>
    <t>Grouted Rip Rap (12"-19")</t>
  </si>
  <si>
    <t>Gunite (3")</t>
  </si>
  <si>
    <t>Reinforced Concrete</t>
  </si>
  <si>
    <t>P.C.C. Inverted Shoulder (7-1/2" CF)</t>
  </si>
  <si>
    <t>P.C.C. Curb and 2' Gutter (Type A2-6)</t>
  </si>
  <si>
    <t>P.C.C. Curb and 2' Gutter (Type A2-8)</t>
  </si>
  <si>
    <t>P.C.C. Curb and 2' Gutter (Type B1-6)</t>
  </si>
  <si>
    <t>P.C.C. Curb and 2' Gutter (Type B2,(3)-6)</t>
  </si>
  <si>
    <t>P.C.C. Curb Type C</t>
  </si>
  <si>
    <t>A.C. Curb Type D</t>
  </si>
  <si>
    <t>P.C.C. Alley Gutter</t>
  </si>
  <si>
    <t>Street Name Signs</t>
  </si>
  <si>
    <t>Unclassified Excavation</t>
  </si>
  <si>
    <t>Clearing &amp; Grubbing</t>
  </si>
  <si>
    <t>Sawcut</t>
  </si>
  <si>
    <t>Concrete Removal Non Reinforced</t>
  </si>
  <si>
    <t>Concrete Removal Reinforced</t>
  </si>
  <si>
    <t>Crushed Agg. Base (under AC &amp; PCC pavement)</t>
  </si>
  <si>
    <t>Crushed Agg. Base (under sidewalk, c&amp;g, driveway)</t>
  </si>
  <si>
    <t>Crushed Agg. Base (removal)</t>
  </si>
  <si>
    <t>6 Mil Polyethylene Film Membrane (30" deep)</t>
  </si>
  <si>
    <t>Trench Backfill Slurry (270-E-500)</t>
  </si>
  <si>
    <t>Geotextile fabric</t>
  </si>
  <si>
    <t>Guard Rail</t>
  </si>
  <si>
    <t>Guide Markers</t>
  </si>
  <si>
    <t>Chain Link Fence (5')</t>
  </si>
  <si>
    <t>Chain Link Fence (6')</t>
  </si>
  <si>
    <t>Adjust manhole</t>
  </si>
  <si>
    <t>Tree Well and Covers</t>
  </si>
  <si>
    <t>Remove Temporary Turnaround</t>
  </si>
  <si>
    <t>Construct Temporary Turnaround</t>
  </si>
  <si>
    <t>Curb Drain - 1 Pipe</t>
  </si>
  <si>
    <t>Curb Drain - 2 Pipes</t>
  </si>
  <si>
    <t>Curb Drain - 3 Pipes</t>
  </si>
  <si>
    <t>Parkway Drain No. 1</t>
  </si>
  <si>
    <t>Catch Basin No. 300, W=3.5'</t>
  </si>
  <si>
    <t>Catch Basin No. 300, W=7'-10'</t>
  </si>
  <si>
    <t>Catch Basin No. 300, W=14'</t>
  </si>
  <si>
    <t>Catch Basin No. 300, W=17', 21'</t>
  </si>
  <si>
    <t>Catch Basin No. 300, W=28'</t>
  </si>
  <si>
    <t>Catch Basin No. 301, W=7' - 1 Grate</t>
  </si>
  <si>
    <t>Catch Basin No. 301, W=10' - 1 Grate</t>
  </si>
  <si>
    <t>Catch Basin No. 301, W=14' - 1 Grate</t>
  </si>
  <si>
    <t>Catch Basin No. 301, W=21' - 3 Grates</t>
  </si>
  <si>
    <t>Catch Basin No. 301, W=28' - 3 Grates</t>
  </si>
  <si>
    <t>Catch Basin No. 301, W=28' - 2 Grates</t>
  </si>
  <si>
    <t>Catch Basin No. 301, W=14' - 2 Grates</t>
  </si>
  <si>
    <t>Catch Basin No. 301, W=21' - 2 Grates</t>
  </si>
  <si>
    <t xml:space="preserve">Street Lights    </t>
  </si>
  <si>
    <t>Furnish/Install Sign Panel on One Post</t>
  </si>
  <si>
    <t>Furnish/Install Sign Panel on Two Posts</t>
  </si>
  <si>
    <t>Furnish/Install Sign Panel</t>
  </si>
  <si>
    <t>Remove Sign</t>
  </si>
  <si>
    <t>Relocate Sign</t>
  </si>
  <si>
    <t>Install Detail 1 (2-Coat Paint)</t>
  </si>
  <si>
    <t>Install Detail 2 (2-Coat Paint)</t>
  </si>
  <si>
    <t>Install Detail 8 (2-Coat Paint)</t>
  </si>
  <si>
    <t>Install Detail 9 (2-Coat Paint)</t>
  </si>
  <si>
    <t>Install Detail 15 (2-Coat Paint)</t>
  </si>
  <si>
    <t>Install Detail 16 (2-Coat Paint)</t>
  </si>
  <si>
    <t>Install Detail 21 (2-Coat Paint)</t>
  </si>
  <si>
    <t>Install Detail 22 (2-Coat Paint)</t>
  </si>
  <si>
    <t>Install Detail 24 (2-Coat Paint)</t>
  </si>
  <si>
    <t>Install Detail 25 (2-Coat Paint)</t>
  </si>
  <si>
    <t>Install Detail 27B (2-Coat Paint)</t>
  </si>
  <si>
    <t>Install Detail 28 (2-Coat Paint)</t>
  </si>
  <si>
    <t>Install Detail 29 (2-Coat Paint)</t>
  </si>
  <si>
    <t>Install Detail 31 (2-Coat Paint)</t>
  </si>
  <si>
    <t>Install Detail 32 (2-Coat Paint)</t>
  </si>
  <si>
    <t>Install Detail 37B (2-Coat Paint)</t>
  </si>
  <si>
    <t>Install Detail 38 (2-Coat Paint)</t>
  </si>
  <si>
    <t>Install Detail 38A (2-Coat Paint)</t>
  </si>
  <si>
    <t>Install Detail 40 (2-Coat Paint)</t>
  </si>
  <si>
    <t>Install Detail 41 (2-Coat Paint)</t>
  </si>
  <si>
    <t>Install Pavement Marking (2-Coat Paint) ($3.00/SF)</t>
  </si>
  <si>
    <t>Install Curb Marking (2-Coat Paint)</t>
  </si>
  <si>
    <t>Remove Detail 1 (2-Coat Paint)</t>
  </si>
  <si>
    <t>Remove Detail 2 (2-Coat Paint)</t>
  </si>
  <si>
    <t>Remove Detail 8 (2-Coat Paint)</t>
  </si>
  <si>
    <t>Remove Detail 9 (2-Coat Paint)</t>
  </si>
  <si>
    <t>Remove Detail 15 (2-Coat Paint)</t>
  </si>
  <si>
    <t>Remove Detail 16 (2-Coat Paint)</t>
  </si>
  <si>
    <t>Remove Detail 21 (2-Coat Paint)</t>
  </si>
  <si>
    <t>Remove Detail 22 (2-Coat Paint)</t>
  </si>
  <si>
    <t>Remove Detail 24 (2-Coat Paint)</t>
  </si>
  <si>
    <t>Remove Detail 25 (2-Coat Paint)</t>
  </si>
  <si>
    <t>Remove Detail 27B (2-Coat Paint)</t>
  </si>
  <si>
    <t>Remove Detail 28 (2-Coat Paint)</t>
  </si>
  <si>
    <t>Remove Detail 29 (2-Coat Paint)</t>
  </si>
  <si>
    <t>Remove Detail 31 (2-Coat Paint)</t>
  </si>
  <si>
    <t>Remove Detail 32 (2-Coat Paint)</t>
  </si>
  <si>
    <t>Remove Detail 37B (2-Coat Paint)</t>
  </si>
  <si>
    <t>Remove Detail 38 (2-Coat Paint)</t>
  </si>
  <si>
    <t>Remove Detail 38A (2-Coat Paint)</t>
  </si>
  <si>
    <t>Remove Detail 40 (2-Coat Paint)</t>
  </si>
  <si>
    <t>Remove Detail 41 (2-Coat Paint)</t>
  </si>
  <si>
    <t>Remove Pavement Marking (2-Coat Paint) ($4.00/SF)</t>
  </si>
  <si>
    <t>Remove Curb Marking (2-Coat Paint)</t>
  </si>
  <si>
    <t>A.C. (2") - Performance Grade</t>
  </si>
  <si>
    <t>A.C. (3") - Performance Grade</t>
  </si>
  <si>
    <t>A.C. (4") - Performance Grade</t>
  </si>
  <si>
    <t>A.C. (6") - Performance Grade</t>
  </si>
  <si>
    <r>
      <t>Street Bond Amount</t>
    </r>
    <r>
      <rPr>
        <sz val="10"/>
        <color indexed="8"/>
        <rFont val="Arial"/>
        <family val="2"/>
      </rPr>
      <t xml:space="preserve"> (I+J) = </t>
    </r>
  </si>
  <si>
    <t>Street Trees</t>
  </si>
  <si>
    <t>TABLE 1 - Plan Review Fee Calculation</t>
  </si>
  <si>
    <t>TABLE 2 - Inspection Fee Calculation**</t>
  </si>
  <si>
    <t>$25,001 - $100,000</t>
  </si>
  <si>
    <t>STREET LIGHTING - VALUATION</t>
  </si>
  <si>
    <t>STREET IMPROVEMENTS - VALUATION</t>
  </si>
  <si>
    <t>STREET IMPROVEMENT - BOND</t>
  </si>
  <si>
    <t>STREET TREE - BOND</t>
  </si>
  <si>
    <t>Valuation</t>
  </si>
  <si>
    <t>Street Improvements</t>
  </si>
  <si>
    <t>Street Lighting</t>
  </si>
  <si>
    <t>Signing &amp; Striping</t>
  </si>
  <si>
    <t>( C )</t>
  </si>
  <si>
    <t>( E)</t>
  </si>
  <si>
    <t>Bonds</t>
  </si>
  <si>
    <t>Street Improvement - Faithful Performance</t>
  </si>
  <si>
    <t>Street Improvement - Labor &amp; Materials</t>
  </si>
  <si>
    <t>Street Tree - Faithful Performance</t>
  </si>
  <si>
    <t>Street Tree - Labor &amp; Materials</t>
  </si>
  <si>
    <t>( Q ) / 2</t>
  </si>
  <si>
    <t>Inspection Fee</t>
  </si>
  <si>
    <t>Permit Issuance Fee</t>
  </si>
  <si>
    <t xml:space="preserve">Total = </t>
  </si>
  <si>
    <t>( K ) / 2</t>
  </si>
  <si>
    <t>SUMMARY</t>
  </si>
  <si>
    <t>each</t>
  </si>
  <si>
    <t>(place Engineer's seal, exp.date &amp; signature below)</t>
  </si>
  <si>
    <t>Name</t>
  </si>
  <si>
    <t>Signature</t>
  </si>
  <si>
    <t>Date</t>
  </si>
  <si>
    <t xml:space="preserve">SIGNING &amp; STRIPING SUBTOTAL = </t>
  </si>
  <si>
    <t>( E1)</t>
  </si>
  <si>
    <t>**Inspection fees are an estimated amount and subject to change.  The fee is based on the final approved plan</t>
  </si>
  <si>
    <t>Inspection Fee (J &amp; P)</t>
  </si>
  <si>
    <t>Tree Removal (average 12" diameter)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</si>
  <si>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</si>
  <si>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r>
      <t xml:space="preserve">STOP = 22 SF  </t>
    </r>
    <r>
      <rPr>
        <b/>
        <i/>
        <sz val="10"/>
        <rFont val="Arial"/>
        <family val="2"/>
      </rPr>
      <t>(enter 'each' quantity)</t>
    </r>
  </si>
  <si>
    <r>
      <t xml:space="preserve">SIGNAL = 32 SF  </t>
    </r>
    <r>
      <rPr>
        <b/>
        <i/>
        <sz val="10"/>
        <rFont val="Arial"/>
        <family val="2"/>
      </rPr>
      <t>(enter 'each' quantity)</t>
    </r>
  </si>
  <si>
    <r>
      <t xml:space="preserve">SCHOOL = 35 SF  </t>
    </r>
    <r>
      <rPr>
        <b/>
        <i/>
        <sz val="10"/>
        <rFont val="Arial"/>
        <family val="2"/>
      </rPr>
      <t>(enter 'each' quantity)</t>
    </r>
  </si>
  <si>
    <r>
      <t xml:space="preserve">AHEAD = 31 SF  </t>
    </r>
    <r>
      <rPr>
        <b/>
        <i/>
        <sz val="10"/>
        <rFont val="Arial"/>
        <family val="2"/>
      </rPr>
      <t>(enter 'each' quantity)</t>
    </r>
  </si>
  <si>
    <r>
      <t xml:space="preserve">YIELD = 24 SF </t>
    </r>
    <r>
      <rPr>
        <b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enter 'each' quantity)</t>
    </r>
  </si>
  <si>
    <r>
      <t xml:space="preserve">Type IV Arrow = 15 SF  </t>
    </r>
    <r>
      <rPr>
        <b/>
        <i/>
        <sz val="10"/>
        <rFont val="Arial"/>
        <family val="2"/>
      </rPr>
      <t>(enter 'each' quantity)</t>
    </r>
  </si>
  <si>
    <t>+</t>
  </si>
  <si>
    <t>over</t>
  </si>
  <si>
    <t xml:space="preserve">per 1000 over </t>
  </si>
  <si>
    <t>Instructions:</t>
  </si>
  <si>
    <t>use drop-down arrow to select 'Y' for Yes or 'N' for No)</t>
  </si>
  <si>
    <r>
      <rPr>
        <b/>
        <sz val="10"/>
        <rFont val="Arial"/>
        <family val="2"/>
      </rPr>
      <t>(F1)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</si>
  <si>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>Encroachment Permit - Street</t>
  </si>
  <si>
    <t>Undergrounding of Existing Utilities</t>
  </si>
  <si>
    <t>UNDERGROUNDING OF EXISTING OVERHEAD UTILITIES - VALUATION</t>
  </si>
  <si>
    <t>Undergrounding of Existing Overhead Utilities</t>
  </si>
  <si>
    <t>Notes:</t>
  </si>
  <si>
    <t xml:space="preserve">Inspection (use Table 2 below) = </t>
  </si>
  <si>
    <r>
      <t xml:space="preserve">*Plan Review Fee </t>
    </r>
    <r>
      <rPr>
        <sz val="10"/>
        <rFont val="Arial"/>
        <family val="2"/>
      </rPr>
      <t>(use Table 1 below)</t>
    </r>
    <r>
      <rPr>
        <b/>
        <sz val="10"/>
        <rFont val="Arial"/>
        <family val="2"/>
      </rPr>
      <t xml:space="preserve"> = </t>
    </r>
  </si>
  <si>
    <t xml:space="preserve"> - Drainage devices not transferrable to LA County Flood Control District (LACFCD), i.e. road culverts/drains, shall be included on</t>
  </si>
  <si>
    <r>
      <t>*Plan Reviews beyond 3</t>
    </r>
    <r>
      <rPr>
        <i/>
        <vertAlign val="superscript"/>
        <sz val="10"/>
        <rFont val="Arial"/>
        <family val="2"/>
      </rPr>
      <t>rd</t>
    </r>
    <r>
      <rPr>
        <i/>
        <sz val="10"/>
        <rFont val="Arial"/>
        <family val="2"/>
      </rPr>
      <t xml:space="preserve">submittal will require payment of an additional review fee in the amount of 15% of original plan review fee.  </t>
    </r>
  </si>
  <si>
    <t>Plan Review Fee</t>
  </si>
  <si>
    <t>Tract / Parcel Map #</t>
  </si>
  <si>
    <t>Phone</t>
  </si>
  <si>
    <t>Email</t>
  </si>
  <si>
    <t>Date prepared</t>
  </si>
  <si>
    <t xml:space="preserve">Bond Processing Fee - Initial = </t>
  </si>
  <si>
    <t xml:space="preserve">Permit Issuance Fee = </t>
  </si>
  <si>
    <t>Records Management Fee</t>
  </si>
  <si>
    <t>Install 12-inch Limit Line (2-Coat Paint)</t>
  </si>
  <si>
    <t>Remove 12-inch Limit Line (2-Coat Paint)</t>
  </si>
  <si>
    <t>Bond &amp; Fee Calculation Sheet - Street Improvements</t>
  </si>
  <si>
    <t>RBAC-Rubberized Asphalt Concrete</t>
  </si>
  <si>
    <t>and date of payment. Verify fee amount with Engineering Services Division prior to payment.</t>
  </si>
  <si>
    <t>Department of Public Works - Engineering Services Division</t>
  </si>
  <si>
    <t>Enter Case #:</t>
  </si>
  <si>
    <t>Range</t>
  </si>
  <si>
    <t>Base Fee</t>
  </si>
  <si>
    <t>Fee 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</si>
  <si>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</si>
  <si>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</si>
  <si>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</si>
  <si>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</si>
  <si>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</si>
  <si>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</si>
  <si>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</si>
  <si>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per</t>
  </si>
  <si>
    <t>valuation</t>
  </si>
  <si>
    <t>$0 - $25,000</t>
  </si>
  <si>
    <t>$100,001 and over</t>
  </si>
  <si>
    <t xml:space="preserve"> + 2.5% of valuation</t>
  </si>
  <si>
    <t>Table 3 -  Street light Review Fee</t>
  </si>
  <si>
    <t>Table 2 - Street Inspection Fee</t>
  </si>
  <si>
    <t>Table 1 -  Street Plan Review Fee</t>
  </si>
  <si>
    <t>total fee</t>
  </si>
  <si>
    <t>of  valuation</t>
  </si>
  <si>
    <t>Project Name</t>
  </si>
  <si>
    <t xml:space="preserve"> + 2.0% of valuation</t>
  </si>
  <si>
    <t>ENG#</t>
  </si>
  <si>
    <t xml:space="preserve"> - Plan Revisions (to a previously approved plan):  Plan Review Fees are charged at actual costs using staff's fully allocated hourly rate </t>
  </si>
  <si>
    <t xml:space="preserve">    with minimum of 4.0 hours plus additional Record's Management fees</t>
  </si>
  <si>
    <t>SIGNING &amp; STRIPING - VALUATION IS DONE AND ASSESSED SEPARATELY BY TRAFFIC DIVISION</t>
  </si>
  <si>
    <r>
      <t xml:space="preserve">(E1 ) Total Valuation   ( E )  &lt; $50,000 </t>
    </r>
    <r>
      <rPr>
        <b/>
        <i/>
        <sz val="9"/>
        <rFont val="Arial"/>
        <family val="2"/>
      </rPr>
      <t>(click in cell and</t>
    </r>
  </si>
  <si>
    <t>use drop-down arrow to select 'Y' for Yes or 'No' for No)</t>
  </si>
  <si>
    <t xml:space="preserve">TOTAL VALUATION (A+B+C+D) = </t>
  </si>
  <si>
    <t>PLAN REVIEW FEE  (EXLUDING SIGNING &amp;STRIPING. WILL BE INVOICED SEPARATELY BY TRAFFIC DIVISION)</t>
  </si>
  <si>
    <t>RATE OF INCREASE</t>
  </si>
  <si>
    <t>this calculation sheet.  (For transferrable drainage systems, use Storm Drain (MTD) Bond &amp; Fee Calculation Sheet)</t>
  </si>
  <si>
    <t>N</t>
  </si>
  <si>
    <t xml:space="preserve"> - Inspection fees calculated below are an estimated amount and subject to change.  The fee is based on the final. approved plan</t>
  </si>
  <si>
    <t xml:space="preserve"> - Contact the Traffic Division for Plan Review fee amounts for the following plans: Signing &amp; Striping, Traffic Signal, Signal</t>
  </si>
  <si>
    <t>Timing, Signal Interconnect and  Traffic Control/Detour Plans.</t>
  </si>
  <si>
    <t xml:space="preserve">   STR        -</t>
  </si>
  <si>
    <t>Average Plan Checker Rate</t>
  </si>
  <si>
    <t>Updated fees effective on 08/25/2025</t>
  </si>
  <si>
    <t xml:space="preserve">      -  Fill out the quantities of all the appropriate items</t>
  </si>
  <si>
    <t xml:space="preserve">      -  Fill out  information in the cells highlighted in yellow</t>
  </si>
  <si>
    <t xml:space="preserve">   - On Line F1 The use of TCP, using the drop-down arrow, select "Y" or "N" as applicable</t>
  </si>
  <si>
    <t>Improvement Total (I - B + O)</t>
  </si>
  <si>
    <r>
      <t>Street Tree Bond Amount</t>
    </r>
    <r>
      <rPr>
        <sz val="10"/>
        <color indexed="8"/>
        <rFont val="Arial"/>
        <family val="2"/>
      </rPr>
      <t xml:space="preserve"> (O) = </t>
    </r>
  </si>
  <si>
    <t xml:space="preserve">Valuation for Plan Review [(A+C)+15% Contingency] = </t>
  </si>
  <si>
    <t xml:space="preserve">Initial Bond Processing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</si>
</sst>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vertAlign val="superscript"/>
      <sz val="10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indent="2"/>
    </xf>
    <xf numFmtId="44" fontId="1" fillId="0" borderId="2" xfId="1" applyFont="1" applyBorder="1" applyAlignment="1" applyProtection="1">
      <alignment vertical="center"/>
    </xf>
    <xf numFmtId="3" fontId="1" fillId="3" borderId="4" xfId="1" applyNumberFormat="1" applyFont="1" applyFill="1" applyBorder="1" applyAlignment="1" applyProtection="1">
      <alignment horizontal="center" vertical="center"/>
      <protection locked="0"/>
    </xf>
    <xf numFmtId="44" fontId="1" fillId="0" borderId="5" xfId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7" fillId="0" borderId="6" xfId="0" applyFont="1" applyFill="1" applyBorder="1" applyAlignment="1" applyProtection="1">
      <alignment horizontal="left" vertical="center"/>
    </xf>
    <xf numFmtId="3" fontId="1" fillId="0" borderId="6" xfId="0" applyNumberFormat="1" applyFont="1" applyBorder="1" applyAlignment="1" applyProtection="1">
      <alignment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6" fillId="0" borderId="0" xfId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4" fontId="1" fillId="0" borderId="0" xfId="1" applyFont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vertical="center"/>
    </xf>
    <xf numFmtId="44" fontId="16" fillId="0" borderId="0" xfId="1" applyFont="1" applyAlignment="1" applyProtection="1">
      <alignment horizontal="center" vertical="center"/>
    </xf>
    <xf numFmtId="44" fontId="11" fillId="0" borderId="0" xfId="1" applyFont="1" applyAlignment="1" applyProtection="1">
      <alignment horizontal="right" vertical="center"/>
    </xf>
    <xf numFmtId="44" fontId="1" fillId="0" borderId="7" xfId="1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center" vertical="center"/>
    </xf>
    <xf numFmtId="44" fontId="13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64" fontId="13" fillId="0" borderId="0" xfId="1" applyNumberFormat="1" applyFont="1" applyAlignment="1" applyProtection="1">
      <alignment horizontal="right" vertical="center" indent="4"/>
    </xf>
    <xf numFmtId="3" fontId="22" fillId="0" borderId="0" xfId="0" applyNumberFormat="1" applyFont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</xf>
    <xf numFmtId="3" fontId="23" fillId="0" borderId="0" xfId="0" applyNumberFormat="1" applyFont="1" applyAlignment="1" applyProtection="1">
      <alignment horizontal="right" vertical="center" indent="4"/>
    </xf>
    <xf numFmtId="3" fontId="11" fillId="0" borderId="0" xfId="0" applyNumberFormat="1" applyFont="1" applyAlignment="1" applyProtection="1">
      <alignment horizontal="right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3" fontId="1" fillId="0" borderId="11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horizontal="center" vertical="center"/>
    </xf>
    <xf numFmtId="44" fontId="1" fillId="0" borderId="13" xfId="1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44" fontId="1" fillId="0" borderId="14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44" fontId="21" fillId="0" borderId="15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44" fontId="1" fillId="0" borderId="11" xfId="0" applyNumberFormat="1" applyFont="1" applyBorder="1" applyAlignment="1" applyProtection="1">
      <alignment vertical="center"/>
    </xf>
    <xf numFmtId="44" fontId="1" fillId="0" borderId="16" xfId="1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3" fontId="21" fillId="0" borderId="7" xfId="0" applyNumberFormat="1" applyFont="1" applyBorder="1" applyAlignment="1" applyProtection="1">
      <alignment horizontal="center" vertical="center"/>
    </xf>
    <xf numFmtId="44" fontId="21" fillId="0" borderId="7" xfId="1" applyFont="1" applyBorder="1" applyAlignment="1" applyProtection="1">
      <alignment vertical="center"/>
    </xf>
    <xf numFmtId="3" fontId="1" fillId="0" borderId="12" xfId="1" applyNumberFormat="1" applyFont="1" applyBorder="1" applyAlignment="1" applyProtection="1">
      <alignment horizontal="center" vertical="center"/>
    </xf>
    <xf numFmtId="44" fontId="1" fillId="0" borderId="17" xfId="1" applyFont="1" applyBorder="1" applyAlignment="1" applyProtection="1">
      <alignment vertical="center"/>
    </xf>
    <xf numFmtId="44" fontId="1" fillId="0" borderId="18" xfId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44" fontId="1" fillId="0" borderId="12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3" fontId="1" fillId="0" borderId="9" xfId="1" applyNumberFormat="1" applyFont="1" applyBorder="1" applyAlignment="1" applyProtection="1">
      <alignment horizontal="center" vertical="center"/>
    </xf>
    <xf numFmtId="44" fontId="1" fillId="0" borderId="8" xfId="1" applyFont="1" applyBorder="1" applyAlignment="1" applyProtection="1">
      <alignment vertical="center"/>
    </xf>
    <xf numFmtId="44" fontId="1" fillId="0" borderId="20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44" fontId="1" fillId="0" borderId="9" xfId="0" applyNumberFormat="1" applyFont="1" applyBorder="1" applyAlignment="1" applyProtection="1">
      <alignment vertical="center"/>
    </xf>
    <xf numFmtId="3" fontId="1" fillId="2" borderId="9" xfId="1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3" fontId="1" fillId="2" borderId="21" xfId="1" applyNumberFormat="1" applyFont="1" applyFill="1" applyBorder="1" applyAlignment="1" applyProtection="1">
      <alignment horizontal="center" vertical="center"/>
    </xf>
    <xf numFmtId="44" fontId="1" fillId="0" borderId="22" xfId="1" applyFont="1" applyBorder="1" applyAlignment="1" applyProtection="1">
      <alignment vertical="center"/>
    </xf>
    <xf numFmtId="44" fontId="1" fillId="0" borderId="23" xfId="1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44" fontId="1" fillId="0" borderId="21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horizontal="center" vertical="center"/>
    </xf>
    <xf numFmtId="44" fontId="1" fillId="0" borderId="24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21" fillId="0" borderId="9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44" fontId="21" fillId="0" borderId="0" xfId="0" applyNumberFormat="1" applyFont="1" applyBorder="1" applyAlignment="1" applyProtection="1">
      <alignment vertical="center"/>
    </xf>
    <xf numFmtId="3" fontId="1" fillId="0" borderId="0" xfId="1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3" fontId="1" fillId="0" borderId="26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44" fontId="1" fillId="0" borderId="28" xfId="1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3" fontId="1" fillId="0" borderId="14" xfId="0" applyNumberFormat="1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164" fontId="1" fillId="0" borderId="23" xfId="0" applyNumberFormat="1" applyFont="1" applyBorder="1" applyAlignment="1" applyProtection="1">
      <alignment vertical="center"/>
    </xf>
    <xf numFmtId="44" fontId="21" fillId="0" borderId="14" xfId="0" applyNumberFormat="1" applyFont="1" applyBorder="1" applyAlignment="1" applyProtection="1">
      <alignment vertical="center"/>
    </xf>
    <xf numFmtId="44" fontId="1" fillId="0" borderId="2" xfId="1" applyFont="1" applyFill="1" applyBorder="1" applyAlignment="1" applyProtection="1">
      <alignment vertical="center"/>
    </xf>
    <xf numFmtId="44" fontId="1" fillId="0" borderId="2" xfId="1" applyNumberFormat="1" applyFont="1" applyFill="1" applyBorder="1" applyAlignment="1" applyProtection="1">
      <alignment vertical="center"/>
    </xf>
    <xf numFmtId="6" fontId="1" fillId="0" borderId="0" xfId="1" applyNumberFormat="1" applyFont="1" applyBorder="1" applyAlignment="1" applyProtection="1">
      <alignment vertical="center"/>
    </xf>
    <xf numFmtId="44" fontId="21" fillId="0" borderId="11" xfId="0" applyNumberFormat="1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indent="2"/>
    </xf>
    <xf numFmtId="0" fontId="1" fillId="0" borderId="29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4"/>
    </xf>
    <xf numFmtId="44" fontId="1" fillId="0" borderId="0" xfId="1" applyFont="1" applyFill="1" applyBorder="1" applyAlignment="1" applyProtection="1">
      <alignment vertical="center"/>
    </xf>
    <xf numFmtId="44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44" fontId="21" fillId="0" borderId="30" xfId="0" applyNumberFormat="1" applyFont="1" applyFill="1" applyBorder="1" applyAlignment="1" applyProtection="1">
      <alignment vertical="center"/>
    </xf>
    <xf numFmtId="44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44" fontId="21" fillId="0" borderId="31" xfId="0" applyNumberFormat="1" applyFont="1" applyBorder="1" applyAlignment="1" applyProtection="1">
      <alignment vertical="center"/>
    </xf>
    <xf numFmtId="44" fontId="24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2" fillId="0" borderId="0" xfId="0" applyNumberFormat="1" applyFont="1" applyAlignment="1" applyProtection="1">
      <alignment vertical="center"/>
    </xf>
    <xf numFmtId="0" fontId="1" fillId="0" borderId="21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21" fillId="0" borderId="0" xfId="1" applyFont="1" applyBorder="1" applyAlignment="1" applyProtection="1">
      <alignment vertical="center"/>
    </xf>
    <xf numFmtId="44" fontId="21" fillId="0" borderId="32" xfId="0" applyNumberFormat="1" applyFont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right" vertical="center"/>
    </xf>
    <xf numFmtId="44" fontId="25" fillId="0" borderId="0" xfId="0" applyNumberFormat="1" applyFont="1" applyAlignment="1" applyProtection="1">
      <alignment vertical="center"/>
    </xf>
    <xf numFmtId="44" fontId="1" fillId="0" borderId="1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44" fontId="21" fillId="0" borderId="33" xfId="0" applyNumberFormat="1" applyFont="1" applyBorder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4" fontId="5" fillId="4" borderId="9" xfId="0" applyNumberFormat="1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3" fontId="1" fillId="0" borderId="18" xfId="0" applyNumberFormat="1" applyFont="1" applyBorder="1" applyAlignment="1" applyProtection="1">
      <alignment vertical="center"/>
    </xf>
    <xf numFmtId="44" fontId="1" fillId="0" borderId="18" xfId="1" applyFont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vertical="center"/>
    </xf>
    <xf numFmtId="44" fontId="7" fillId="0" borderId="19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44" fontId="21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44" fontId="1" fillId="0" borderId="34" xfId="0" applyNumberFormat="1" applyFont="1" applyBorder="1" applyAlignment="1" applyProtection="1">
      <alignment vertical="center"/>
    </xf>
    <xf numFmtId="44" fontId="1" fillId="0" borderId="35" xfId="0" applyNumberFormat="1" applyFont="1" applyBorder="1" applyAlignment="1" applyProtection="1">
      <alignment vertical="center"/>
    </xf>
    <xf numFmtId="44" fontId="1" fillId="0" borderId="15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4" fontId="5" fillId="4" borderId="12" xfId="0" applyNumberFormat="1" applyFont="1" applyFill="1" applyBorder="1" applyAlignment="1" applyProtection="1">
      <alignment vertical="center"/>
    </xf>
    <xf numFmtId="0" fontId="1" fillId="0" borderId="18" xfId="0" applyFont="1" applyBorder="1" applyAlignment="1" applyProtection="1">
      <alignment horizontal="right" vertical="center"/>
    </xf>
    <xf numFmtId="0" fontId="21" fillId="0" borderId="18" xfId="0" applyFont="1" applyBorder="1" applyAlignment="1" applyProtection="1">
      <alignment vertical="center"/>
    </xf>
    <xf numFmtId="44" fontId="7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right" vertical="center" wrapText="1"/>
    </xf>
    <xf numFmtId="0" fontId="21" fillId="0" borderId="11" xfId="0" applyFont="1" applyBorder="1" applyAlignment="1" applyProtection="1">
      <alignment vertical="center"/>
    </xf>
    <xf numFmtId="44" fontId="21" fillId="0" borderId="12" xfId="0" applyNumberFormat="1" applyFont="1" applyBorder="1" applyAlignment="1" applyProtection="1">
      <alignment vertical="center"/>
    </xf>
    <xf numFmtId="44" fontId="21" fillId="0" borderId="18" xfId="1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3" fontId="21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1" fillId="0" borderId="14" xfId="0" applyNumberFormat="1" applyFont="1" applyBorder="1" applyAlignment="1" applyProtection="1">
      <alignment horizontal="left" vertical="center" indent="1"/>
    </xf>
    <xf numFmtId="0" fontId="1" fillId="0" borderId="10" xfId="0" applyFont="1" applyBorder="1" applyAlignment="1" applyProtection="1">
      <alignment horizontal="left" vertical="center" wrapText="1" indent="11"/>
    </xf>
    <xf numFmtId="6" fontId="1" fillId="0" borderId="0" xfId="0" applyNumberFormat="1" applyFont="1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horizontal="left" vertical="center" indent="1"/>
    </xf>
    <xf numFmtId="44" fontId="1" fillId="0" borderId="0" xfId="1" quotePrefix="1" applyFont="1" applyBorder="1" applyAlignment="1" applyProtection="1">
      <alignment horizontal="center" vertical="center"/>
    </xf>
    <xf numFmtId="10" fontId="21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left" vertical="center"/>
    </xf>
    <xf numFmtId="164" fontId="21" fillId="0" borderId="0" xfId="1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 indent="11"/>
    </xf>
    <xf numFmtId="44" fontId="1" fillId="0" borderId="18" xfId="1" quotePrefix="1" applyFont="1" applyBorder="1" applyAlignment="1" applyProtection="1">
      <alignment horizontal="center" vertical="center"/>
    </xf>
    <xf numFmtId="164" fontId="21" fillId="0" borderId="18" xfId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166" fontId="1" fillId="0" borderId="18" xfId="1" quotePrefix="1" applyNumberFormat="1" applyFont="1" applyBorder="1" applyAlignment="1" applyProtection="1">
      <alignment horizontal="center" vertical="center"/>
    </xf>
    <xf numFmtId="6" fontId="1" fillId="0" borderId="18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Alignment="1" applyProtection="1">
      <alignment vertical="center"/>
    </xf>
    <xf numFmtId="44" fontId="21" fillId="0" borderId="0" xfId="1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36" xfId="0" applyFont="1" applyBorder="1" applyAlignment="1" applyProtection="1">
      <alignment vertical="center"/>
    </xf>
    <xf numFmtId="0" fontId="21" fillId="0" borderId="37" xfId="0" applyFont="1" applyBorder="1" applyAlignment="1" applyProtection="1">
      <alignment vertical="center"/>
    </xf>
    <xf numFmtId="3" fontId="1" fillId="0" borderId="7" xfId="1" applyNumberFormat="1" applyFont="1" applyFill="1" applyBorder="1" applyAlignment="1" applyProtection="1">
      <alignment horizontal="center" vertical="center"/>
    </xf>
    <xf numFmtId="44" fontId="1" fillId="0" borderId="7" xfId="0" applyNumberFormat="1" applyFont="1" applyFill="1" applyBorder="1" applyAlignment="1" applyProtection="1">
      <alignment vertical="center"/>
    </xf>
    <xf numFmtId="44" fontId="1" fillId="0" borderId="5" xfId="0" applyNumberFormat="1" applyFont="1" applyBorder="1" applyAlignment="1" applyProtection="1">
      <alignment vertical="center"/>
    </xf>
    <xf numFmtId="164" fontId="1" fillId="5" borderId="0" xfId="0" applyNumberFormat="1" applyFont="1" applyFill="1" applyAlignment="1" applyProtection="1">
      <alignment vertical="center"/>
    </xf>
    <xf numFmtId="44" fontId="19" fillId="0" borderId="0" xfId="1" applyFont="1" applyAlignment="1" applyProtection="1">
      <alignment horizontal="right" vertical="top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1" fillId="5" borderId="0" xfId="0" applyNumberFormat="1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164" fontId="21" fillId="5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5" borderId="6" xfId="0" applyNumberFormat="1" applyFont="1" applyFill="1" applyBorder="1" applyAlignment="1">
      <alignment vertical="center"/>
    </xf>
    <xf numFmtId="164" fontId="21" fillId="5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4" fontId="0" fillId="0" borderId="0" xfId="0" applyNumberFormat="1" applyBorder="1"/>
    <xf numFmtId="166" fontId="21" fillId="5" borderId="0" xfId="2" applyNumberFormat="1" applyFont="1" applyFill="1" applyBorder="1" applyAlignment="1">
      <alignment vertical="center"/>
    </xf>
    <xf numFmtId="166" fontId="21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21" fillId="0" borderId="0" xfId="2" applyNumberFormat="1" applyFont="1" applyBorder="1" applyAlignment="1">
      <alignment horizontal="right" vertical="center"/>
    </xf>
    <xf numFmtId="44" fontId="1" fillId="0" borderId="0" xfId="1" quotePrefix="1" applyFont="1" applyBorder="1" applyAlignment="1" applyProtection="1">
      <alignment horizontal="left" vertical="center"/>
    </xf>
    <xf numFmtId="6" fontId="1" fillId="0" borderId="18" xfId="0" applyNumberFormat="1" applyFont="1" applyBorder="1" applyAlignment="1" applyProtection="1">
      <alignment horizontal="left" vertical="center"/>
    </xf>
    <xf numFmtId="44" fontId="1" fillId="0" borderId="18" xfId="1" quotePrefix="1" applyFont="1" applyBorder="1" applyAlignment="1" applyProtection="1">
      <alignment horizontal="left" vertical="center"/>
    </xf>
    <xf numFmtId="44" fontId="21" fillId="5" borderId="0" xfId="1" applyFont="1" applyFill="1" applyBorder="1" applyAlignment="1">
      <alignment vertical="center"/>
    </xf>
    <xf numFmtId="44" fontId="1" fillId="5" borderId="0" xfId="1" applyFont="1" applyFill="1" applyBorder="1" applyAlignment="1">
      <alignment vertical="center"/>
    </xf>
    <xf numFmtId="166" fontId="1" fillId="0" borderId="0" xfId="2" applyNumberFormat="1" applyFont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2"/>
    </xf>
    <xf numFmtId="0" fontId="21" fillId="3" borderId="18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Alignment="1" applyProtection="1">
      <alignment horizontal="right" vertical="center" indent="4"/>
    </xf>
    <xf numFmtId="0" fontId="1" fillId="0" borderId="2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44" fontId="21" fillId="0" borderId="15" xfId="0" applyNumberFormat="1" applyFont="1" applyFill="1" applyBorder="1" applyAlignment="1" applyProtection="1">
      <alignment vertical="center"/>
    </xf>
    <xf numFmtId="0" fontId="0" fillId="8" borderId="0" xfId="0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21" fillId="0" borderId="0" xfId="0" applyFont="1" applyAlignment="1" applyProtection="1">
      <alignment vertical="center"/>
      <protection locked="0"/>
    </xf>
    <xf numFmtId="44" fontId="0" fillId="0" borderId="0" xfId="1" applyFont="1" applyBorder="1"/>
    <xf numFmtId="3" fontId="11" fillId="0" borderId="0" xfId="0" applyNumberFormat="1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3" fontId="27" fillId="6" borderId="8" xfId="0" applyNumberFormat="1" applyFont="1" applyFill="1" applyBorder="1" applyAlignment="1" applyProtection="1">
      <alignment horizontal="center" vertical="center"/>
    </xf>
    <xf numFmtId="3" fontId="27" fillId="6" borderId="20" xfId="0" applyNumberFormat="1" applyFont="1" applyFill="1" applyBorder="1" applyAlignment="1" applyProtection="1">
      <alignment horizontal="center" vertical="center"/>
    </xf>
    <xf numFmtId="3" fontId="27" fillId="6" borderId="1" xfId="0" applyNumberFormat="1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44" fontId="3" fillId="0" borderId="8" xfId="1" applyFont="1" applyBorder="1" applyAlignment="1" applyProtection="1">
      <alignment horizontal="center" vertical="center"/>
    </xf>
    <xf numFmtId="44" fontId="3" fillId="0" borderId="20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44" fontId="2" fillId="0" borderId="9" xfId="1" applyFont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/>
    </xf>
    <xf numFmtId="0" fontId="2" fillId="7" borderId="20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44" fontId="2" fillId="0" borderId="17" xfId="1" applyFont="1" applyBorder="1" applyAlignment="1" applyProtection="1">
      <alignment horizontal="center" vertical="center"/>
    </xf>
    <xf numFmtId="44" fontId="2" fillId="0" borderId="18" xfId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horizontal="right" vertical="center"/>
    </xf>
    <xf numFmtId="0" fontId="2" fillId="7" borderId="51" xfId="0" applyFont="1" applyFill="1" applyBorder="1" applyAlignment="1" applyProtection="1">
      <alignment horizontal="center"/>
    </xf>
    <xf numFmtId="0" fontId="2" fillId="7" borderId="39" xfId="0" applyFont="1" applyFill="1" applyBorder="1" applyAlignment="1" applyProtection="1">
      <alignment horizontal="center"/>
    </xf>
    <xf numFmtId="0" fontId="2" fillId="7" borderId="5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/>
    </xf>
    <xf numFmtId="3" fontId="28" fillId="0" borderId="0" xfId="0" applyNumberFormat="1" applyFont="1" applyAlignment="1" applyProtection="1">
      <alignment horizontal="center" vertical="center"/>
    </xf>
    <xf numFmtId="44" fontId="8" fillId="3" borderId="53" xfId="1" applyFont="1" applyFill="1" applyBorder="1" applyAlignment="1" applyProtection="1">
      <alignment horizontal="left" vertical="center"/>
    </xf>
    <xf numFmtId="44" fontId="8" fillId="3" borderId="54" xfId="1" applyFont="1" applyFill="1" applyBorder="1" applyAlignment="1" applyProtection="1">
      <alignment horizontal="left" vertical="center"/>
    </xf>
    <xf numFmtId="44" fontId="8" fillId="3" borderId="55" xfId="1" applyFont="1" applyFill="1" applyBorder="1" applyAlignment="1" applyProtection="1">
      <alignment horizontal="left" vertical="center"/>
    </xf>
    <xf numFmtId="44" fontId="8" fillId="3" borderId="56" xfId="1" applyFont="1" applyFill="1" applyBorder="1" applyAlignment="1" applyProtection="1">
      <alignment horizontal="left" vertical="center"/>
    </xf>
    <xf numFmtId="44" fontId="13" fillId="0" borderId="0" xfId="1" applyFont="1" applyAlignment="1" applyProtection="1">
      <alignment horizontal="right" vertical="center"/>
    </xf>
    <xf numFmtId="44" fontId="13" fillId="0" borderId="0" xfId="1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44" fontId="1" fillId="0" borderId="0" xfId="0" applyNumberFormat="1" applyFont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308"/>
  <sheetViews>
    <sheetView tabSelected="1" zoomScale="115" zoomScaleNormal="115" zoomScaleSheetLayoutView="100" workbookViewId="0">
      <selection activeCell="B70" sqref="B70"/>
    </sheetView>
  </sheetViews>
  <sheetFormatPr defaultRowHeight="12.75" x14ac:dyDescent="0.25"/>
  <cols>
    <col min="1" max="1" width="47.7109375" style="14" customWidth="1"/>
    <col min="2" max="2" width="11.42578125" style="121" customWidth="1"/>
    <col min="3" max="3" width="12.7109375" style="193" customWidth="1"/>
    <col min="4" max="4" width="7.7109375" style="193" customWidth="1"/>
    <col min="5" max="5" width="12.7109375" style="14" customWidth="1"/>
    <col min="6" max="6" width="22" style="14" customWidth="1"/>
    <col min="7" max="7" width="4.42578125" style="169" customWidth="1"/>
    <col min="8" max="8" width="13.42578125" style="169" hidden="1" customWidth="1"/>
    <col min="9" max="9" width="14.7109375" style="14" hidden="1" customWidth="1"/>
    <col min="10" max="10" width="11.28515625" style="14" hidden="1" customWidth="1"/>
    <col min="11" max="12" width="11.28515625" style="14" bestFit="1" customWidth="1"/>
    <col min="13" max="13" width="9.140625" style="14"/>
    <col min="14" max="14" width="0" style="14" hidden="1" customWidth="1"/>
    <col min="15" max="16384" width="9.140625" style="14"/>
  </cols>
  <sheetData>
    <row r="1" spans="1:9" ht="15.75" x14ac:dyDescent="0.25">
      <c r="A1" s="298" t="s">
        <v>72</v>
      </c>
      <c r="B1" s="298"/>
      <c r="C1" s="298"/>
      <c r="D1" s="298"/>
      <c r="E1" s="298"/>
      <c r="F1" s="298"/>
      <c r="G1" s="12"/>
      <c r="H1" s="12"/>
      <c r="I1" s="13"/>
    </row>
    <row r="2" spans="1:9" ht="15.75" x14ac:dyDescent="0.25">
      <c r="A2" s="298" t="s">
        <v>259</v>
      </c>
      <c r="B2" s="298"/>
      <c r="C2" s="298"/>
      <c r="D2" s="298"/>
      <c r="E2" s="298"/>
      <c r="F2" s="298"/>
      <c r="G2" s="12"/>
      <c r="H2" s="12"/>
      <c r="I2" s="13"/>
    </row>
    <row r="3" spans="1:9" ht="15" customHeight="1" x14ac:dyDescent="0.25">
      <c r="A3" s="300" t="s">
        <v>299</v>
      </c>
      <c r="B3" s="300"/>
      <c r="C3" s="300"/>
      <c r="D3" s="300"/>
      <c r="E3" s="300"/>
      <c r="F3" s="300"/>
      <c r="G3" s="12"/>
      <c r="H3" s="12"/>
      <c r="I3" s="13"/>
    </row>
    <row r="4" spans="1:9" ht="18" x14ac:dyDescent="0.25">
      <c r="A4" s="299" t="s">
        <v>256</v>
      </c>
      <c r="B4" s="299"/>
      <c r="C4" s="299"/>
      <c r="D4" s="299"/>
      <c r="E4" s="299"/>
      <c r="F4" s="299"/>
      <c r="G4" s="12"/>
      <c r="H4" s="12"/>
      <c r="I4" s="13"/>
    </row>
    <row r="5" spans="1:9" ht="9.9499999999999993" customHeight="1" thickBot="1" x14ac:dyDescent="0.3">
      <c r="A5" s="17"/>
      <c r="B5" s="18"/>
      <c r="C5" s="19"/>
      <c r="D5" s="19"/>
      <c r="E5" s="32"/>
      <c r="F5" s="32"/>
      <c r="G5" s="12"/>
      <c r="H5" s="12"/>
      <c r="I5" s="13"/>
    </row>
    <row r="6" spans="1:9" ht="9.9499999999999993" customHeight="1" thickTop="1" x14ac:dyDescent="0.25">
      <c r="A6" s="13"/>
      <c r="B6" s="15"/>
      <c r="C6" s="16"/>
      <c r="D6" s="201" t="s">
        <v>260</v>
      </c>
      <c r="E6" s="301" t="s">
        <v>297</v>
      </c>
      <c r="F6" s="302"/>
      <c r="G6" s="12"/>
      <c r="H6" s="12"/>
      <c r="I6" s="13"/>
    </row>
    <row r="7" spans="1:9" ht="13.5" customHeight="1" thickBot="1" x14ac:dyDescent="0.3">
      <c r="A7" s="247" t="s">
        <v>234</v>
      </c>
      <c r="B7" s="248"/>
      <c r="C7" s="249"/>
      <c r="D7" s="249"/>
      <c r="E7" s="303"/>
      <c r="F7" s="304"/>
      <c r="G7" s="12"/>
      <c r="H7" s="12"/>
      <c r="I7" s="13"/>
    </row>
    <row r="8" spans="1:9" x14ac:dyDescent="0.25">
      <c r="A8" s="14" t="s">
        <v>301</v>
      </c>
      <c r="B8" s="248"/>
      <c r="C8" s="249"/>
      <c r="D8" s="249"/>
      <c r="E8" s="251"/>
      <c r="F8" s="251"/>
      <c r="G8" s="12"/>
      <c r="H8" s="12"/>
      <c r="I8" s="13"/>
    </row>
    <row r="9" spans="1:9" x14ac:dyDescent="0.25">
      <c r="A9" s="14" t="s">
        <v>300</v>
      </c>
      <c r="B9" s="248"/>
      <c r="C9" s="249"/>
      <c r="D9" s="249"/>
      <c r="E9" s="251"/>
      <c r="F9" s="251"/>
      <c r="G9" s="12"/>
      <c r="H9" s="12"/>
      <c r="I9" s="13"/>
    </row>
    <row r="10" spans="1:9" x14ac:dyDescent="0.25">
      <c r="A10" s="250" t="s">
        <v>302</v>
      </c>
      <c r="B10" s="248"/>
      <c r="C10" s="249"/>
      <c r="D10" s="249"/>
      <c r="E10" s="251"/>
      <c r="F10" s="251"/>
      <c r="G10" s="12"/>
      <c r="H10" s="12"/>
      <c r="I10" s="13"/>
    </row>
    <row r="11" spans="1:9" ht="9.9499999999999993" customHeight="1" x14ac:dyDescent="0.25">
      <c r="A11" s="251"/>
      <c r="B11" s="248"/>
      <c r="C11" s="249"/>
      <c r="D11" s="249"/>
      <c r="E11" s="251"/>
      <c r="F11" s="251"/>
      <c r="G11" s="12"/>
      <c r="H11" s="12"/>
      <c r="I11" s="13"/>
    </row>
    <row r="12" spans="1:9" x14ac:dyDescent="0.25">
      <c r="A12" s="247" t="s">
        <v>241</v>
      </c>
      <c r="B12" s="248"/>
      <c r="C12" s="249"/>
      <c r="D12" s="249"/>
      <c r="E12" s="251"/>
      <c r="F12" s="251"/>
      <c r="G12" s="12"/>
      <c r="H12" s="12"/>
      <c r="I12" s="13"/>
    </row>
    <row r="13" spans="1:9" x14ac:dyDescent="0.25">
      <c r="A13" s="250" t="s">
        <v>294</v>
      </c>
      <c r="B13" s="251"/>
      <c r="C13" s="251"/>
      <c r="D13" s="251"/>
      <c r="E13" s="251"/>
      <c r="F13" s="251"/>
      <c r="G13" s="12"/>
      <c r="H13" s="12"/>
      <c r="I13" s="13"/>
    </row>
    <row r="14" spans="1:9" x14ac:dyDescent="0.25">
      <c r="A14" s="250" t="s">
        <v>244</v>
      </c>
      <c r="B14" s="251"/>
      <c r="C14" s="251"/>
      <c r="D14" s="251"/>
      <c r="E14" s="251"/>
      <c r="F14" s="251"/>
      <c r="G14" s="12"/>
      <c r="H14" s="12"/>
      <c r="I14" s="13"/>
    </row>
    <row r="15" spans="1:9" x14ac:dyDescent="0.25">
      <c r="A15" s="252" t="s">
        <v>292</v>
      </c>
      <c r="B15" s="251"/>
      <c r="C15" s="251"/>
      <c r="D15" s="251"/>
      <c r="E15" s="251"/>
      <c r="F15" s="251"/>
      <c r="G15" s="12"/>
      <c r="H15" s="12"/>
      <c r="I15" s="13"/>
    </row>
    <row r="16" spans="1:9" x14ac:dyDescent="0.25">
      <c r="A16" s="250" t="s">
        <v>295</v>
      </c>
      <c r="B16" s="251"/>
      <c r="C16" s="251"/>
      <c r="D16" s="251"/>
      <c r="E16" s="251"/>
      <c r="F16" s="251"/>
      <c r="G16" s="12"/>
      <c r="H16" s="12"/>
      <c r="I16" s="13"/>
    </row>
    <row r="17" spans="1:14" x14ac:dyDescent="0.25">
      <c r="A17" s="252" t="s">
        <v>296</v>
      </c>
      <c r="B17" s="251"/>
      <c r="C17" s="251"/>
      <c r="D17" s="251"/>
      <c r="E17" s="251"/>
      <c r="F17" s="251"/>
      <c r="G17" s="12"/>
      <c r="H17" s="12"/>
      <c r="I17" s="13"/>
    </row>
    <row r="18" spans="1:14" x14ac:dyDescent="0.25">
      <c r="B18" s="251"/>
      <c r="C18" s="251"/>
      <c r="D18" s="251"/>
      <c r="E18" s="251"/>
      <c r="F18" s="251"/>
      <c r="G18" s="12"/>
      <c r="H18" s="12"/>
      <c r="I18" s="13"/>
    </row>
    <row r="19" spans="1:14" ht="9.9499999999999993" customHeight="1" thickBot="1" x14ac:dyDescent="0.3">
      <c r="A19" s="17"/>
      <c r="B19" s="18"/>
      <c r="C19" s="19"/>
      <c r="D19" s="19"/>
      <c r="E19" s="20"/>
      <c r="F19" s="20"/>
      <c r="G19" s="12"/>
      <c r="H19" s="12"/>
      <c r="I19" s="13"/>
    </row>
    <row r="20" spans="1:14" ht="9.9499999999999993" customHeight="1" thickTop="1" x14ac:dyDescent="0.25">
      <c r="A20" s="13"/>
      <c r="B20" s="15"/>
      <c r="C20" s="16"/>
      <c r="D20" s="16"/>
      <c r="E20" s="13"/>
      <c r="F20" s="13"/>
      <c r="G20" s="12"/>
      <c r="H20" s="12"/>
      <c r="I20" s="13"/>
    </row>
    <row r="21" spans="1:14" x14ac:dyDescent="0.25">
      <c r="A21" s="21" t="s">
        <v>73</v>
      </c>
      <c r="B21" s="22"/>
      <c r="C21" s="13"/>
      <c r="D21" s="23" t="s">
        <v>247</v>
      </c>
      <c r="E21" s="253"/>
      <c r="F21" s="254"/>
      <c r="G21" s="12"/>
      <c r="H21" s="12"/>
      <c r="I21" s="13"/>
    </row>
    <row r="22" spans="1:14" x14ac:dyDescent="0.25">
      <c r="A22" s="9"/>
      <c r="B22" s="21"/>
      <c r="C22" s="24"/>
      <c r="G22" s="12"/>
      <c r="H22" s="12"/>
      <c r="I22" s="13"/>
    </row>
    <row r="23" spans="1:14" ht="15" x14ac:dyDescent="0.25">
      <c r="A23" s="26" t="s">
        <v>216</v>
      </c>
      <c r="B23" s="21"/>
      <c r="C23" s="27"/>
      <c r="D23" s="25" t="s">
        <v>283</v>
      </c>
      <c r="E23" s="253"/>
      <c r="F23" s="253"/>
      <c r="G23" s="12"/>
      <c r="H23" s="12"/>
      <c r="I23" s="13"/>
    </row>
    <row r="24" spans="1:14" x14ac:dyDescent="0.25">
      <c r="A24" s="9"/>
      <c r="B24" s="21"/>
      <c r="C24" s="14"/>
      <c r="G24" s="12"/>
      <c r="H24" s="12"/>
      <c r="I24" s="13"/>
    </row>
    <row r="25" spans="1:14" x14ac:dyDescent="0.25">
      <c r="A25" s="26" t="s">
        <v>248</v>
      </c>
      <c r="B25" s="15"/>
      <c r="C25" s="16"/>
      <c r="D25" s="25" t="s">
        <v>281</v>
      </c>
      <c r="E25" s="253"/>
      <c r="F25" s="253"/>
      <c r="G25" s="12"/>
      <c r="H25" s="12"/>
      <c r="I25" s="13"/>
    </row>
    <row r="26" spans="1:14" x14ac:dyDescent="0.25">
      <c r="A26" s="9"/>
      <c r="B26" s="15"/>
      <c r="C26" s="16"/>
      <c r="D26" s="16"/>
      <c r="E26" s="23"/>
      <c r="F26" s="10"/>
      <c r="G26" s="12"/>
      <c r="H26" s="12"/>
      <c r="I26" s="13"/>
    </row>
    <row r="27" spans="1:14" x14ac:dyDescent="0.25">
      <c r="A27" s="26" t="s">
        <v>249</v>
      </c>
      <c r="B27" s="15"/>
      <c r="C27" s="16"/>
      <c r="D27" s="16"/>
      <c r="E27" s="23"/>
      <c r="F27" s="1"/>
      <c r="G27" s="12"/>
      <c r="H27" s="12"/>
      <c r="I27" s="13"/>
    </row>
    <row r="28" spans="1:14" x14ac:dyDescent="0.25">
      <c r="A28" s="9"/>
      <c r="B28" s="15"/>
      <c r="C28" s="16"/>
      <c r="D28" s="16"/>
      <c r="E28" s="23"/>
      <c r="F28" s="1"/>
      <c r="G28" s="12"/>
      <c r="H28" s="12"/>
      <c r="I28" s="13"/>
    </row>
    <row r="29" spans="1:14" x14ac:dyDescent="0.25">
      <c r="A29" s="26" t="s">
        <v>250</v>
      </c>
      <c r="B29" s="15"/>
      <c r="C29" s="16"/>
      <c r="D29" s="16"/>
      <c r="E29" s="23"/>
      <c r="F29" s="11"/>
      <c r="G29" s="12"/>
      <c r="H29" s="12"/>
      <c r="I29" s="13"/>
    </row>
    <row r="30" spans="1:14" x14ac:dyDescent="0.25">
      <c r="A30" s="28" t="s">
        <v>215</v>
      </c>
      <c r="B30" s="15"/>
      <c r="C30" s="16"/>
      <c r="D30" s="16"/>
      <c r="E30" s="23"/>
      <c r="F30" s="11"/>
      <c r="G30" s="12"/>
      <c r="H30" s="12"/>
      <c r="I30" s="13"/>
    </row>
    <row r="31" spans="1:14" x14ac:dyDescent="0.25">
      <c r="A31" s="13"/>
      <c r="B31" s="15"/>
      <c r="C31" s="21" t="s">
        <v>74</v>
      </c>
      <c r="D31" s="16"/>
      <c r="E31" s="13"/>
      <c r="F31" s="13"/>
      <c r="G31" s="12"/>
      <c r="H31" s="12"/>
      <c r="I31" s="13"/>
    </row>
    <row r="32" spans="1:14" x14ac:dyDescent="0.25">
      <c r="A32" s="13"/>
      <c r="B32" s="15"/>
      <c r="C32" s="29" t="s">
        <v>216</v>
      </c>
      <c r="D32" s="7"/>
      <c r="E32" s="8"/>
      <c r="F32" s="8"/>
      <c r="G32" s="12"/>
      <c r="H32" s="12"/>
      <c r="I32" s="13"/>
      <c r="N32" s="265" t="b">
        <v>0</v>
      </c>
    </row>
    <row r="33" spans="1:9" x14ac:dyDescent="0.25">
      <c r="A33" s="13"/>
      <c r="B33" s="15"/>
      <c r="C33" s="24"/>
      <c r="D33" s="30"/>
      <c r="E33" s="31"/>
      <c r="F33" s="31"/>
      <c r="G33" s="12"/>
      <c r="H33" s="12"/>
      <c r="I33" s="13"/>
    </row>
    <row r="34" spans="1:9" x14ac:dyDescent="0.25">
      <c r="A34" s="13"/>
      <c r="B34" s="15"/>
      <c r="C34" s="29" t="s">
        <v>217</v>
      </c>
      <c r="D34" s="7"/>
      <c r="E34" s="8"/>
      <c r="F34" s="8"/>
      <c r="G34" s="12"/>
      <c r="H34" s="12"/>
      <c r="I34" s="13"/>
    </row>
    <row r="35" spans="1:9" x14ac:dyDescent="0.25">
      <c r="A35" s="13"/>
      <c r="B35" s="15"/>
      <c r="C35" s="24"/>
      <c r="D35" s="30"/>
      <c r="E35" s="31"/>
      <c r="F35" s="31"/>
      <c r="G35" s="12"/>
      <c r="H35" s="12"/>
      <c r="I35" s="13"/>
    </row>
    <row r="36" spans="1:9" x14ac:dyDescent="0.25">
      <c r="A36" s="13"/>
      <c r="B36" s="15"/>
      <c r="C36" s="29" t="s">
        <v>218</v>
      </c>
      <c r="D36" s="7"/>
      <c r="E36" s="8"/>
      <c r="F36" s="8"/>
      <c r="G36" s="12"/>
      <c r="H36" s="12"/>
      <c r="I36" s="13"/>
    </row>
    <row r="37" spans="1:9" ht="9.9499999999999993" customHeight="1" thickBot="1" x14ac:dyDescent="0.3">
      <c r="A37" s="20"/>
      <c r="B37" s="18"/>
      <c r="C37" s="19"/>
      <c r="D37" s="19"/>
      <c r="E37" s="20"/>
      <c r="F37" s="20"/>
      <c r="G37" s="12"/>
      <c r="H37" s="12"/>
      <c r="I37" s="13"/>
    </row>
    <row r="38" spans="1:9" ht="9.9499999999999993" customHeight="1" thickTop="1" x14ac:dyDescent="0.25">
      <c r="A38" s="32"/>
      <c r="B38" s="33"/>
      <c r="C38" s="34"/>
      <c r="D38" s="34"/>
      <c r="E38" s="32"/>
      <c r="F38" s="32"/>
      <c r="G38" s="12"/>
      <c r="H38" s="12"/>
      <c r="I38" s="13"/>
    </row>
    <row r="39" spans="1:9" ht="15" x14ac:dyDescent="0.25">
      <c r="A39" s="35" t="s">
        <v>213</v>
      </c>
      <c r="B39" s="36"/>
      <c r="C39" s="37"/>
      <c r="D39" s="16"/>
      <c r="E39" s="13"/>
      <c r="F39" s="13"/>
      <c r="G39" s="12"/>
      <c r="H39" s="12"/>
      <c r="I39" s="13"/>
    </row>
    <row r="40" spans="1:9" ht="9.9499999999999993" customHeight="1" x14ac:dyDescent="0.25">
      <c r="A40" s="38"/>
      <c r="B40" s="37"/>
      <c r="C40" s="36"/>
      <c r="D40" s="39"/>
      <c r="E40" s="39"/>
      <c r="F40" s="13"/>
      <c r="G40" s="12"/>
      <c r="H40" s="12"/>
      <c r="I40" s="13"/>
    </row>
    <row r="41" spans="1:9" ht="15" x14ac:dyDescent="0.25">
      <c r="A41" s="40" t="s">
        <v>197</v>
      </c>
      <c r="B41" s="37"/>
      <c r="C41" s="36"/>
      <c r="D41" s="39"/>
      <c r="E41" s="39"/>
      <c r="F41" s="13"/>
      <c r="G41" s="12"/>
      <c r="H41" s="12"/>
      <c r="I41" s="13"/>
    </row>
    <row r="42" spans="1:9" ht="13.5" customHeight="1" x14ac:dyDescent="0.25">
      <c r="A42" s="41" t="s">
        <v>198</v>
      </c>
      <c r="B42" s="305">
        <f>F167</f>
        <v>0</v>
      </c>
      <c r="C42" s="305"/>
      <c r="D42" s="43" t="s">
        <v>42</v>
      </c>
      <c r="E42" s="44"/>
      <c r="F42" s="13"/>
      <c r="G42" s="12"/>
      <c r="H42" s="12"/>
      <c r="I42" s="13"/>
    </row>
    <row r="43" spans="1:9" ht="13.5" customHeight="1" x14ac:dyDescent="0.25">
      <c r="A43" s="41" t="s">
        <v>199</v>
      </c>
      <c r="B43" s="305">
        <f>F174</f>
        <v>0</v>
      </c>
      <c r="C43" s="305"/>
      <c r="D43" s="43" t="s">
        <v>43</v>
      </c>
      <c r="E43" s="44"/>
      <c r="F43" s="13"/>
      <c r="G43" s="12"/>
      <c r="H43" s="12"/>
      <c r="I43" s="13"/>
    </row>
    <row r="44" spans="1:9" ht="13.5" customHeight="1" x14ac:dyDescent="0.25">
      <c r="A44" s="41" t="s">
        <v>238</v>
      </c>
      <c r="B44" s="305">
        <f>F181</f>
        <v>0</v>
      </c>
      <c r="C44" s="305"/>
      <c r="D44" s="43" t="s">
        <v>201</v>
      </c>
      <c r="E44" s="44"/>
      <c r="F44" s="13"/>
      <c r="G44" s="12"/>
      <c r="H44" s="12"/>
      <c r="I44" s="13"/>
    </row>
    <row r="45" spans="1:9" ht="13.5" customHeight="1" x14ac:dyDescent="0.25">
      <c r="A45" s="41" t="s">
        <v>200</v>
      </c>
      <c r="B45" s="305">
        <f>F253</f>
        <v>0</v>
      </c>
      <c r="C45" s="305"/>
      <c r="D45" s="43" t="s">
        <v>45</v>
      </c>
      <c r="E45" s="44"/>
      <c r="F45" s="13"/>
      <c r="G45" s="12"/>
      <c r="H45" s="12"/>
      <c r="I45" s="13"/>
    </row>
    <row r="46" spans="1:9" ht="13.5" customHeight="1" x14ac:dyDescent="0.25">
      <c r="A46" s="41" t="s">
        <v>211</v>
      </c>
      <c r="B46" s="305">
        <f>F255</f>
        <v>0</v>
      </c>
      <c r="C46" s="305"/>
      <c r="D46" s="43" t="s">
        <v>202</v>
      </c>
      <c r="E46" s="44"/>
      <c r="F46" s="13"/>
      <c r="G46" s="12"/>
      <c r="H46" s="12"/>
      <c r="I46" s="13"/>
    </row>
    <row r="47" spans="1:9" ht="13.5" customHeight="1" x14ac:dyDescent="0.25">
      <c r="A47" s="38"/>
      <c r="B47" s="42"/>
      <c r="C47" s="45"/>
      <c r="D47" s="43"/>
      <c r="E47" s="44"/>
      <c r="F47" s="13"/>
      <c r="G47" s="12"/>
      <c r="H47" s="12"/>
      <c r="I47" s="13"/>
    </row>
    <row r="48" spans="1:9" ht="15" x14ac:dyDescent="0.25">
      <c r="A48" s="40" t="s">
        <v>203</v>
      </c>
      <c r="B48" s="42"/>
      <c r="C48" s="45"/>
      <c r="D48" s="43"/>
      <c r="E48" s="44"/>
      <c r="F48" s="13"/>
      <c r="G48" s="12"/>
      <c r="H48" s="12"/>
      <c r="I48" s="13"/>
    </row>
    <row r="49" spans="1:9" ht="13.5" customHeight="1" x14ac:dyDescent="0.25">
      <c r="A49" s="41" t="s">
        <v>204</v>
      </c>
      <c r="B49" s="306">
        <f>IFERROR(F265,0)</f>
        <v>0</v>
      </c>
      <c r="C49" s="306"/>
      <c r="D49" s="43" t="s">
        <v>51</v>
      </c>
      <c r="E49" s="44"/>
      <c r="F49" s="13"/>
      <c r="G49" s="12"/>
      <c r="H49" s="12"/>
      <c r="I49" s="13"/>
    </row>
    <row r="50" spans="1:9" ht="13.5" customHeight="1" x14ac:dyDescent="0.25">
      <c r="A50" s="41" t="s">
        <v>205</v>
      </c>
      <c r="B50" s="306">
        <f>B49/2</f>
        <v>0</v>
      </c>
      <c r="C50" s="306"/>
      <c r="D50" s="43" t="s">
        <v>212</v>
      </c>
      <c r="E50" s="44"/>
      <c r="F50" s="13"/>
      <c r="G50" s="12"/>
      <c r="H50" s="12"/>
      <c r="I50" s="13"/>
    </row>
    <row r="51" spans="1:9" ht="13.5" customHeight="1" x14ac:dyDescent="0.25">
      <c r="A51" s="41" t="s">
        <v>206</v>
      </c>
      <c r="B51" s="306">
        <f>F278</f>
        <v>0</v>
      </c>
      <c r="C51" s="306"/>
      <c r="D51" s="43" t="s">
        <v>56</v>
      </c>
      <c r="E51" s="44"/>
      <c r="F51" s="13"/>
      <c r="G51" s="12"/>
      <c r="H51" s="12"/>
      <c r="I51" s="13"/>
    </row>
    <row r="52" spans="1:9" ht="13.5" customHeight="1" x14ac:dyDescent="0.25">
      <c r="A52" s="41" t="s">
        <v>207</v>
      </c>
      <c r="B52" s="306">
        <f>B51/2</f>
        <v>0</v>
      </c>
      <c r="C52" s="306"/>
      <c r="D52" s="43" t="s">
        <v>208</v>
      </c>
      <c r="E52" s="44"/>
      <c r="F52" s="13"/>
      <c r="G52" s="12"/>
      <c r="H52" s="12"/>
      <c r="I52" s="13"/>
    </row>
    <row r="53" spans="1:9" ht="13.5" customHeight="1" x14ac:dyDescent="0.25">
      <c r="D53" s="43"/>
      <c r="E53" s="44"/>
      <c r="F53" s="13"/>
      <c r="G53" s="12"/>
      <c r="H53" s="12"/>
      <c r="I53" s="13"/>
    </row>
    <row r="54" spans="1:9" ht="15" customHeight="1" x14ac:dyDescent="0.25">
      <c r="A54" s="40" t="s">
        <v>246</v>
      </c>
      <c r="B54" s="255"/>
      <c r="C54" s="45"/>
      <c r="D54" s="43"/>
      <c r="E54" s="44"/>
      <c r="F54" s="13"/>
      <c r="G54" s="12"/>
      <c r="H54" s="12"/>
      <c r="I54" s="13"/>
    </row>
    <row r="55" spans="1:9" ht="13.5" customHeight="1" x14ac:dyDescent="0.25">
      <c r="A55" s="41" t="s">
        <v>198</v>
      </c>
      <c r="B55" s="306">
        <f>IF(F167=0,0,F284)</f>
        <v>0</v>
      </c>
      <c r="C55" s="306"/>
      <c r="D55" s="43" t="s">
        <v>68</v>
      </c>
      <c r="E55" s="44"/>
      <c r="F55" s="13"/>
      <c r="G55" s="12"/>
      <c r="H55" s="12"/>
      <c r="I55" s="13"/>
    </row>
    <row r="56" spans="1:9" ht="13.5" customHeight="1" x14ac:dyDescent="0.25">
      <c r="A56" s="41" t="s">
        <v>199</v>
      </c>
      <c r="B56" s="306">
        <f>IF(B173=0,0,tables!A64)</f>
        <v>0</v>
      </c>
      <c r="C56" s="306"/>
      <c r="D56" s="43"/>
      <c r="E56" s="267"/>
      <c r="F56" s="13"/>
      <c r="G56" s="12"/>
      <c r="H56" s="12"/>
      <c r="I56" s="13"/>
    </row>
    <row r="57" spans="1:9" ht="13.5" customHeight="1" x14ac:dyDescent="0.25">
      <c r="A57" s="41" t="s">
        <v>306</v>
      </c>
      <c r="B57" s="306">
        <f>IF(B46&gt;20000,B307,0)</f>
        <v>0</v>
      </c>
      <c r="C57" s="306"/>
      <c r="E57" s="46"/>
      <c r="F57" s="13"/>
      <c r="G57" s="12"/>
      <c r="H57" s="12"/>
      <c r="I57" s="13"/>
    </row>
    <row r="58" spans="1:9" ht="13.5" customHeight="1" x14ac:dyDescent="0.25">
      <c r="A58" s="41" t="s">
        <v>253</v>
      </c>
      <c r="B58" s="306">
        <f>IFERROR(0.1*(B55+B56),0)</f>
        <v>0</v>
      </c>
      <c r="C58" s="306"/>
      <c r="D58" s="43"/>
      <c r="E58" s="44"/>
      <c r="F58" s="13"/>
      <c r="G58" s="12"/>
      <c r="H58" s="12"/>
      <c r="I58" s="13"/>
    </row>
    <row r="59" spans="1:9" ht="13.5" customHeight="1" x14ac:dyDescent="0.25">
      <c r="A59" s="41" t="s">
        <v>211</v>
      </c>
      <c r="B59" s="306">
        <f>B55+B56+B57+B58</f>
        <v>0</v>
      </c>
      <c r="C59" s="306"/>
      <c r="D59" s="43"/>
      <c r="E59" s="44"/>
      <c r="F59" s="13"/>
      <c r="G59" s="12"/>
      <c r="H59" s="12"/>
      <c r="I59" s="13"/>
    </row>
    <row r="60" spans="1:9" ht="13.5" customHeight="1" x14ac:dyDescent="0.25">
      <c r="E60" s="44"/>
      <c r="F60" s="13"/>
      <c r="G60" s="12"/>
      <c r="H60" s="12"/>
      <c r="I60" s="13"/>
    </row>
    <row r="61" spans="1:9" ht="15" x14ac:dyDescent="0.25">
      <c r="A61" s="40" t="s">
        <v>237</v>
      </c>
      <c r="B61" s="42"/>
      <c r="C61" s="45"/>
      <c r="D61" s="43"/>
      <c r="E61" s="44"/>
      <c r="F61" s="13"/>
      <c r="G61" s="12"/>
      <c r="H61" s="12"/>
      <c r="I61" s="13"/>
    </row>
    <row r="62" spans="1:9" ht="15" customHeight="1" x14ac:dyDescent="0.25">
      <c r="A62" s="41" t="s">
        <v>209</v>
      </c>
      <c r="B62" s="306">
        <f>IFERROR(F264,0)</f>
        <v>0</v>
      </c>
      <c r="C62" s="306"/>
      <c r="D62" s="43" t="s">
        <v>49</v>
      </c>
      <c r="E62" s="44"/>
      <c r="F62" s="13"/>
      <c r="G62" s="12"/>
      <c r="H62" s="12"/>
      <c r="I62" s="13"/>
    </row>
    <row r="63" spans="1:9" ht="15" customHeight="1" x14ac:dyDescent="0.25">
      <c r="A63" s="41" t="s">
        <v>210</v>
      </c>
      <c r="B63" s="306">
        <f>IF(B59=0,0,B308)</f>
        <v>0</v>
      </c>
      <c r="C63" s="306"/>
      <c r="D63" s="43"/>
      <c r="E63" s="44"/>
      <c r="F63" s="13"/>
      <c r="G63" s="12"/>
      <c r="H63" s="12"/>
      <c r="I63" s="13"/>
    </row>
    <row r="64" spans="1:9" ht="15" customHeight="1" x14ac:dyDescent="0.25">
      <c r="A64" s="41" t="s">
        <v>211</v>
      </c>
      <c r="B64" s="306">
        <f>SUM(B62:C63)</f>
        <v>0</v>
      </c>
      <c r="C64" s="306"/>
      <c r="D64" s="43"/>
      <c r="E64" s="44"/>
      <c r="F64" s="13"/>
      <c r="G64" s="12"/>
      <c r="H64" s="12"/>
      <c r="I64" s="13"/>
    </row>
    <row r="65" spans="1:24" ht="13.5" customHeight="1" thickBot="1" x14ac:dyDescent="0.3">
      <c r="A65" s="20"/>
      <c r="B65" s="47"/>
      <c r="C65" s="19"/>
      <c r="D65" s="19"/>
      <c r="E65" s="20"/>
      <c r="F65" s="20"/>
      <c r="G65" s="12"/>
      <c r="H65" s="12"/>
      <c r="I65" s="13"/>
    </row>
    <row r="66" spans="1:24" ht="13.5" thickTop="1" x14ac:dyDescent="0.2">
      <c r="A66" s="291" t="s">
        <v>194</v>
      </c>
      <c r="B66" s="292"/>
      <c r="C66" s="292"/>
      <c r="D66" s="292"/>
      <c r="E66" s="292"/>
      <c r="F66" s="293"/>
      <c r="G66" s="12"/>
      <c r="H66" s="12"/>
      <c r="I66" s="13"/>
    </row>
    <row r="67" spans="1:24" x14ac:dyDescent="0.25">
      <c r="A67" s="48" t="s">
        <v>0</v>
      </c>
      <c r="B67" s="49" t="s">
        <v>1</v>
      </c>
      <c r="C67" s="274" t="s">
        <v>2</v>
      </c>
      <c r="D67" s="274"/>
      <c r="E67" s="275"/>
      <c r="F67" s="50" t="s">
        <v>3</v>
      </c>
      <c r="G67" s="12"/>
      <c r="H67" s="12"/>
      <c r="I67" s="13"/>
    </row>
    <row r="68" spans="1:24" x14ac:dyDescent="0.25">
      <c r="A68" s="51"/>
      <c r="B68" s="52"/>
      <c r="C68" s="280" t="s">
        <v>39</v>
      </c>
      <c r="D68" s="281"/>
      <c r="E68" s="53" t="s">
        <v>40</v>
      </c>
      <c r="F68" s="54"/>
      <c r="G68" s="12"/>
      <c r="H68" s="12"/>
      <c r="I68" s="13"/>
    </row>
    <row r="69" spans="1:24" x14ac:dyDescent="0.25">
      <c r="A69" s="55" t="s">
        <v>4</v>
      </c>
      <c r="B69" s="56"/>
      <c r="C69" s="57"/>
      <c r="D69" s="58"/>
      <c r="E69" s="58"/>
      <c r="F69" s="59"/>
      <c r="G69" s="12"/>
      <c r="H69" s="12"/>
      <c r="I69" s="13"/>
    </row>
    <row r="70" spans="1:24" x14ac:dyDescent="0.25">
      <c r="A70" s="4" t="s">
        <v>184</v>
      </c>
      <c r="B70" s="3"/>
      <c r="C70" s="5">
        <v>1.01</v>
      </c>
      <c r="D70" s="60" t="s">
        <v>36</v>
      </c>
      <c r="E70" s="5">
        <v>1.47</v>
      </c>
      <c r="F70" s="61">
        <f t="shared" ref="F70:F76" si="0">IF($B$256="Y",B70*E70,B70*C70)</f>
        <v>0</v>
      </c>
      <c r="G70" s="12"/>
      <c r="H70" s="312">
        <f>B70*C70</f>
        <v>0</v>
      </c>
      <c r="I70" s="62">
        <f>B70*E70</f>
        <v>0</v>
      </c>
      <c r="J70" s="34"/>
      <c r="K70" s="63"/>
      <c r="L70" s="34"/>
      <c r="M70" s="64"/>
    </row>
    <row r="71" spans="1:24" x14ac:dyDescent="0.25">
      <c r="A71" s="4" t="s">
        <v>185</v>
      </c>
      <c r="B71" s="3"/>
      <c r="C71" s="5">
        <v>1.5</v>
      </c>
      <c r="D71" s="60" t="s">
        <v>36</v>
      </c>
      <c r="E71" s="5">
        <v>1.89</v>
      </c>
      <c r="F71" s="61">
        <f t="shared" si="0"/>
        <v>0</v>
      </c>
      <c r="G71" s="12"/>
      <c r="H71" s="312">
        <f t="shared" ref="H71:H134" si="1">B71*C71</f>
        <v>0</v>
      </c>
      <c r="I71" s="62">
        <f t="shared" ref="I71:I134" si="2">B71*E71</f>
        <v>0</v>
      </c>
      <c r="J71" s="34"/>
      <c r="K71" s="63"/>
      <c r="L71" s="34"/>
      <c r="M71" s="64"/>
    </row>
    <row r="72" spans="1:24" x14ac:dyDescent="0.25">
      <c r="A72" s="4" t="s">
        <v>186</v>
      </c>
      <c r="B72" s="3"/>
      <c r="C72" s="5">
        <v>1.93</v>
      </c>
      <c r="D72" s="60" t="s">
        <v>36</v>
      </c>
      <c r="E72" s="5">
        <v>2.3199999999999998</v>
      </c>
      <c r="F72" s="61">
        <f t="shared" si="0"/>
        <v>0</v>
      </c>
      <c r="G72" s="12"/>
      <c r="H72" s="312">
        <f t="shared" si="1"/>
        <v>0</v>
      </c>
      <c r="I72" s="62">
        <f t="shared" si="2"/>
        <v>0</v>
      </c>
      <c r="J72" s="34"/>
      <c r="K72" s="63"/>
      <c r="L72" s="34"/>
      <c r="M72" s="64"/>
    </row>
    <row r="73" spans="1:24" x14ac:dyDescent="0.25">
      <c r="A73" s="4" t="s">
        <v>187</v>
      </c>
      <c r="B73" s="3"/>
      <c r="C73" s="5">
        <v>2.58</v>
      </c>
      <c r="D73" s="60" t="s">
        <v>36</v>
      </c>
      <c r="E73" s="5">
        <v>3.15</v>
      </c>
      <c r="F73" s="61">
        <f t="shared" si="0"/>
        <v>0</v>
      </c>
      <c r="G73" s="12"/>
      <c r="H73" s="312">
        <f t="shared" si="1"/>
        <v>0</v>
      </c>
      <c r="I73" s="62">
        <f t="shared" si="2"/>
        <v>0</v>
      </c>
      <c r="J73" s="34"/>
      <c r="K73" s="63"/>
      <c r="L73" s="34"/>
      <c r="M73" s="64"/>
    </row>
    <row r="74" spans="1:24" x14ac:dyDescent="0.25">
      <c r="A74" s="4" t="s">
        <v>257</v>
      </c>
      <c r="B74" s="3"/>
      <c r="C74" s="5">
        <v>3.86</v>
      </c>
      <c r="D74" s="60" t="s">
        <v>36</v>
      </c>
      <c r="E74" s="5">
        <v>5.0199999999999996</v>
      </c>
      <c r="F74" s="61">
        <f t="shared" si="0"/>
        <v>0</v>
      </c>
      <c r="G74" s="12"/>
      <c r="H74" s="312">
        <f t="shared" si="1"/>
        <v>0</v>
      </c>
      <c r="I74" s="62">
        <f t="shared" si="2"/>
        <v>0</v>
      </c>
      <c r="J74" s="34"/>
      <c r="K74" s="63"/>
      <c r="L74" s="34"/>
      <c r="M74" s="64"/>
    </row>
    <row r="75" spans="1:24" x14ac:dyDescent="0.25">
      <c r="A75" s="4" t="s">
        <v>75</v>
      </c>
      <c r="B75" s="3"/>
      <c r="C75" s="5">
        <v>3.09</v>
      </c>
      <c r="D75" s="60" t="s">
        <v>36</v>
      </c>
      <c r="E75" s="5">
        <v>4.3099999999999996</v>
      </c>
      <c r="F75" s="61">
        <f t="shared" si="0"/>
        <v>0</v>
      </c>
      <c r="G75" s="12"/>
      <c r="H75" s="312">
        <f t="shared" si="1"/>
        <v>0</v>
      </c>
      <c r="I75" s="62">
        <f t="shared" si="2"/>
        <v>0</v>
      </c>
      <c r="J75" s="34"/>
      <c r="K75" s="63"/>
      <c r="L75" s="34"/>
      <c r="M75" s="64"/>
    </row>
    <row r="76" spans="1:24" x14ac:dyDescent="0.25">
      <c r="A76" s="4" t="s">
        <v>76</v>
      </c>
      <c r="B76" s="3"/>
      <c r="C76" s="5">
        <v>1.08</v>
      </c>
      <c r="D76" s="60" t="s">
        <v>36</v>
      </c>
      <c r="E76" s="5">
        <v>1.85</v>
      </c>
      <c r="F76" s="61">
        <f t="shared" si="0"/>
        <v>0</v>
      </c>
      <c r="G76" s="12"/>
      <c r="H76" s="312">
        <f t="shared" si="1"/>
        <v>0</v>
      </c>
      <c r="I76" s="62">
        <f t="shared" si="2"/>
        <v>0</v>
      </c>
      <c r="J76" s="34"/>
      <c r="K76" s="63"/>
      <c r="L76" s="34"/>
      <c r="M76" s="64"/>
    </row>
    <row r="77" spans="1:24" x14ac:dyDescent="0.25">
      <c r="A77" s="51"/>
      <c r="B77" s="56"/>
      <c r="C77" s="34"/>
      <c r="D77" s="32"/>
      <c r="E77" s="32"/>
      <c r="F77" s="65"/>
      <c r="G77" s="12"/>
      <c r="H77" s="312">
        <f t="shared" si="1"/>
        <v>0</v>
      </c>
      <c r="I77" s="62">
        <f t="shared" si="2"/>
        <v>0</v>
      </c>
      <c r="J77" s="34"/>
      <c r="K77" s="63"/>
      <c r="L77" s="32"/>
      <c r="M77" s="64"/>
    </row>
    <row r="78" spans="1:24" x14ac:dyDescent="0.25">
      <c r="A78" s="55" t="s">
        <v>5</v>
      </c>
      <c r="B78" s="56"/>
      <c r="C78" s="34"/>
      <c r="D78" s="32"/>
      <c r="E78" s="32"/>
      <c r="F78" s="65"/>
      <c r="G78" s="12"/>
      <c r="H78" s="312">
        <f t="shared" si="1"/>
        <v>0</v>
      </c>
      <c r="I78" s="62">
        <f t="shared" si="2"/>
        <v>0</v>
      </c>
      <c r="J78" s="34"/>
      <c r="K78" s="63"/>
      <c r="L78" s="32"/>
      <c r="M78" s="64"/>
    </row>
    <row r="79" spans="1:24" x14ac:dyDescent="0.25">
      <c r="A79" s="4" t="s">
        <v>77</v>
      </c>
      <c r="B79" s="3"/>
      <c r="C79" s="5">
        <v>5.39</v>
      </c>
      <c r="D79" s="60" t="s">
        <v>36</v>
      </c>
      <c r="E79" s="66">
        <v>6.07</v>
      </c>
      <c r="F79" s="61">
        <f t="shared" ref="F79:F90" si="3">IF($B$256="Y",B79*E79,B79*C79)</f>
        <v>0</v>
      </c>
      <c r="G79" s="12"/>
      <c r="H79" s="312">
        <f t="shared" si="1"/>
        <v>0</v>
      </c>
      <c r="I79" s="62">
        <f t="shared" si="2"/>
        <v>0</v>
      </c>
      <c r="J79" s="34"/>
      <c r="K79" s="63"/>
      <c r="L79" s="34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</row>
    <row r="80" spans="1:24" x14ac:dyDescent="0.25">
      <c r="A80" s="4" t="s">
        <v>78</v>
      </c>
      <c r="B80" s="3"/>
      <c r="C80" s="5">
        <v>5.7</v>
      </c>
      <c r="D80" s="60" t="s">
        <v>36</v>
      </c>
      <c r="E80" s="66">
        <v>6.52</v>
      </c>
      <c r="F80" s="61">
        <f t="shared" si="3"/>
        <v>0</v>
      </c>
      <c r="G80" s="12"/>
      <c r="H80" s="312">
        <f t="shared" si="1"/>
        <v>0</v>
      </c>
      <c r="I80" s="62">
        <f t="shared" si="2"/>
        <v>0</v>
      </c>
      <c r="J80" s="34"/>
      <c r="K80" s="63"/>
      <c r="L80" s="34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</row>
    <row r="81" spans="1:24" x14ac:dyDescent="0.25">
      <c r="A81" s="4" t="s">
        <v>79</v>
      </c>
      <c r="B81" s="3"/>
      <c r="C81" s="5">
        <v>7.27</v>
      </c>
      <c r="D81" s="60" t="s">
        <v>36</v>
      </c>
      <c r="E81" s="66">
        <v>8.24</v>
      </c>
      <c r="F81" s="61">
        <f t="shared" si="3"/>
        <v>0</v>
      </c>
      <c r="G81" s="12"/>
      <c r="H81" s="312">
        <f t="shared" si="1"/>
        <v>0</v>
      </c>
      <c r="I81" s="62">
        <f t="shared" si="2"/>
        <v>0</v>
      </c>
      <c r="J81" s="34"/>
      <c r="K81" s="63"/>
      <c r="L81" s="34"/>
      <c r="M81" s="68"/>
      <c r="N81" s="67"/>
      <c r="O81" s="67"/>
      <c r="P81" s="68"/>
      <c r="Q81" s="67"/>
      <c r="R81" s="67"/>
      <c r="S81" s="68"/>
      <c r="T81" s="67"/>
      <c r="U81" s="67"/>
      <c r="V81" s="68"/>
      <c r="W81" s="67"/>
      <c r="X81" s="67"/>
    </row>
    <row r="82" spans="1:24" x14ac:dyDescent="0.25">
      <c r="A82" s="4" t="s">
        <v>81</v>
      </c>
      <c r="B82" s="3"/>
      <c r="C82" s="5">
        <v>5.63</v>
      </c>
      <c r="D82" s="60" t="s">
        <v>36</v>
      </c>
      <c r="E82" s="66">
        <v>6.52</v>
      </c>
      <c r="F82" s="61">
        <f t="shared" si="3"/>
        <v>0</v>
      </c>
      <c r="G82" s="12"/>
      <c r="H82" s="312">
        <f t="shared" si="1"/>
        <v>0</v>
      </c>
      <c r="I82" s="62">
        <f t="shared" si="2"/>
        <v>0</v>
      </c>
      <c r="J82" s="34"/>
      <c r="K82" s="63"/>
      <c r="L82" s="34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</row>
    <row r="83" spans="1:24" x14ac:dyDescent="0.25">
      <c r="A83" s="4" t="s">
        <v>80</v>
      </c>
      <c r="B83" s="3"/>
      <c r="C83" s="5">
        <v>4.6399999999999997</v>
      </c>
      <c r="D83" s="60" t="s">
        <v>36</v>
      </c>
      <c r="E83" s="66">
        <v>5.92</v>
      </c>
      <c r="F83" s="61">
        <f t="shared" si="3"/>
        <v>0</v>
      </c>
      <c r="G83" s="12"/>
      <c r="H83" s="312">
        <f t="shared" si="1"/>
        <v>0</v>
      </c>
      <c r="I83" s="62">
        <f t="shared" si="2"/>
        <v>0</v>
      </c>
      <c r="J83" s="34"/>
      <c r="K83" s="63"/>
      <c r="L83" s="34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</row>
    <row r="84" spans="1:24" x14ac:dyDescent="0.25">
      <c r="A84" s="4" t="s">
        <v>82</v>
      </c>
      <c r="B84" s="3"/>
      <c r="C84" s="5">
        <v>5.7</v>
      </c>
      <c r="D84" s="60" t="s">
        <v>36</v>
      </c>
      <c r="E84" s="66">
        <v>6.52</v>
      </c>
      <c r="F84" s="61">
        <f t="shared" si="3"/>
        <v>0</v>
      </c>
      <c r="G84" s="12"/>
      <c r="H84" s="312">
        <f t="shared" si="1"/>
        <v>0</v>
      </c>
      <c r="I84" s="62">
        <f t="shared" si="2"/>
        <v>0</v>
      </c>
      <c r="J84" s="34"/>
      <c r="K84" s="63"/>
      <c r="L84" s="34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</row>
    <row r="85" spans="1:24" x14ac:dyDescent="0.25">
      <c r="A85" s="4" t="s">
        <v>83</v>
      </c>
      <c r="B85" s="3"/>
      <c r="C85" s="5">
        <v>2344.96</v>
      </c>
      <c r="D85" s="60" t="s">
        <v>214</v>
      </c>
      <c r="E85" s="66">
        <v>2929.18</v>
      </c>
      <c r="F85" s="61">
        <f t="shared" si="3"/>
        <v>0</v>
      </c>
      <c r="G85" s="12"/>
      <c r="H85" s="312">
        <f t="shared" si="1"/>
        <v>0</v>
      </c>
      <c r="I85" s="62">
        <f t="shared" si="2"/>
        <v>0</v>
      </c>
      <c r="J85" s="34"/>
      <c r="K85" s="63"/>
      <c r="L85" s="34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</row>
    <row r="86" spans="1:24" x14ac:dyDescent="0.25">
      <c r="A86" s="4" t="s">
        <v>84</v>
      </c>
      <c r="B86" s="3"/>
      <c r="C86" s="5">
        <v>7.87</v>
      </c>
      <c r="D86" s="60" t="s">
        <v>36</v>
      </c>
      <c r="E86" s="66">
        <v>8.84</v>
      </c>
      <c r="F86" s="61">
        <f t="shared" si="3"/>
        <v>0</v>
      </c>
      <c r="G86" s="12"/>
      <c r="H86" s="312">
        <f t="shared" si="1"/>
        <v>0</v>
      </c>
      <c r="I86" s="62">
        <f t="shared" si="2"/>
        <v>0</v>
      </c>
      <c r="J86" s="34"/>
      <c r="K86" s="63"/>
      <c r="L86" s="34"/>
      <c r="M86" s="64"/>
    </row>
    <row r="87" spans="1:24" x14ac:dyDescent="0.25">
      <c r="A87" s="4" t="s">
        <v>85</v>
      </c>
      <c r="B87" s="3"/>
      <c r="C87" s="5">
        <v>12.35</v>
      </c>
      <c r="D87" s="60" t="s">
        <v>36</v>
      </c>
      <c r="E87" s="66">
        <v>20.82</v>
      </c>
      <c r="F87" s="61">
        <f t="shared" si="3"/>
        <v>0</v>
      </c>
      <c r="G87" s="12"/>
      <c r="H87" s="312">
        <f t="shared" si="1"/>
        <v>0</v>
      </c>
      <c r="I87" s="62">
        <f t="shared" si="2"/>
        <v>0</v>
      </c>
      <c r="J87" s="34"/>
      <c r="K87" s="63"/>
      <c r="L87" s="34"/>
      <c r="M87" s="64"/>
    </row>
    <row r="88" spans="1:24" x14ac:dyDescent="0.25">
      <c r="A88" s="4" t="s">
        <v>86</v>
      </c>
      <c r="B88" s="3"/>
      <c r="C88" s="5">
        <v>13.92</v>
      </c>
      <c r="D88" s="60" t="s">
        <v>36</v>
      </c>
      <c r="E88" s="66">
        <v>23.89</v>
      </c>
      <c r="F88" s="61">
        <f t="shared" si="3"/>
        <v>0</v>
      </c>
      <c r="G88" s="12"/>
      <c r="H88" s="312">
        <f t="shared" si="1"/>
        <v>0</v>
      </c>
      <c r="I88" s="62">
        <f t="shared" si="2"/>
        <v>0</v>
      </c>
      <c r="J88" s="34"/>
      <c r="K88" s="63"/>
      <c r="L88" s="34"/>
      <c r="M88" s="64"/>
    </row>
    <row r="89" spans="1:24" x14ac:dyDescent="0.25">
      <c r="A89" s="4" t="s">
        <v>87</v>
      </c>
      <c r="B89" s="3"/>
      <c r="C89" s="5">
        <v>5.39</v>
      </c>
      <c r="D89" s="60" t="s">
        <v>36</v>
      </c>
      <c r="E89" s="66">
        <v>6.23</v>
      </c>
      <c r="F89" s="61">
        <f t="shared" si="3"/>
        <v>0</v>
      </c>
      <c r="G89" s="12"/>
      <c r="H89" s="312">
        <f t="shared" si="1"/>
        <v>0</v>
      </c>
      <c r="I89" s="62">
        <f t="shared" si="2"/>
        <v>0</v>
      </c>
      <c r="J89" s="34"/>
      <c r="K89" s="63"/>
      <c r="L89" s="34"/>
      <c r="M89" s="64"/>
    </row>
    <row r="90" spans="1:24" x14ac:dyDescent="0.25">
      <c r="A90" s="4" t="s">
        <v>88</v>
      </c>
      <c r="B90" s="3"/>
      <c r="C90" s="5">
        <v>925.96</v>
      </c>
      <c r="D90" s="60" t="s">
        <v>37</v>
      </c>
      <c r="E90" s="66">
        <v>1048.81</v>
      </c>
      <c r="F90" s="61">
        <f t="shared" si="3"/>
        <v>0</v>
      </c>
      <c r="G90" s="12"/>
      <c r="H90" s="312">
        <f t="shared" si="1"/>
        <v>0</v>
      </c>
      <c r="I90" s="62">
        <f t="shared" si="2"/>
        <v>0</v>
      </c>
      <c r="J90" s="34"/>
      <c r="K90" s="63"/>
      <c r="L90" s="34"/>
      <c r="M90" s="64"/>
    </row>
    <row r="91" spans="1:24" x14ac:dyDescent="0.25">
      <c r="A91" s="51"/>
      <c r="B91" s="56"/>
      <c r="C91" s="34"/>
      <c r="D91" s="32"/>
      <c r="E91" s="32"/>
      <c r="F91" s="65"/>
      <c r="G91" s="12"/>
      <c r="H91" s="312">
        <f t="shared" si="1"/>
        <v>0</v>
      </c>
      <c r="I91" s="62">
        <f t="shared" si="2"/>
        <v>0</v>
      </c>
      <c r="J91" s="34"/>
      <c r="K91" s="63"/>
      <c r="L91" s="32"/>
      <c r="M91" s="64"/>
    </row>
    <row r="92" spans="1:24" x14ac:dyDescent="0.25">
      <c r="A92" s="70" t="s">
        <v>6</v>
      </c>
      <c r="B92" s="56"/>
      <c r="C92" s="34"/>
      <c r="D92" s="32"/>
      <c r="E92" s="32"/>
      <c r="F92" s="65"/>
      <c r="G92" s="12"/>
      <c r="H92" s="312">
        <f t="shared" si="1"/>
        <v>0</v>
      </c>
      <c r="I92" s="62">
        <f t="shared" si="2"/>
        <v>0</v>
      </c>
      <c r="J92" s="34"/>
      <c r="K92" s="63"/>
      <c r="L92" s="32"/>
      <c r="M92" s="64"/>
    </row>
    <row r="93" spans="1:24" x14ac:dyDescent="0.25">
      <c r="A93" s="4" t="s">
        <v>89</v>
      </c>
      <c r="B93" s="3"/>
      <c r="C93" s="5">
        <v>21.73</v>
      </c>
      <c r="D93" s="60" t="s">
        <v>38</v>
      </c>
      <c r="E93" s="5">
        <v>26.97</v>
      </c>
      <c r="F93" s="61">
        <f t="shared" ref="F93:F100" si="4">IF($B$256="Y",B93*E93,B93*C93)</f>
        <v>0</v>
      </c>
      <c r="G93" s="12"/>
      <c r="H93" s="312">
        <f t="shared" si="1"/>
        <v>0</v>
      </c>
      <c r="I93" s="62">
        <f t="shared" si="2"/>
        <v>0</v>
      </c>
      <c r="J93" s="34"/>
      <c r="K93" s="63"/>
      <c r="L93" s="34"/>
      <c r="M93" s="64"/>
    </row>
    <row r="94" spans="1:24" x14ac:dyDescent="0.25">
      <c r="A94" s="4" t="s">
        <v>90</v>
      </c>
      <c r="B94" s="3"/>
      <c r="C94" s="5">
        <v>20.22</v>
      </c>
      <c r="D94" s="60" t="s">
        <v>38</v>
      </c>
      <c r="E94" s="5">
        <v>25.47</v>
      </c>
      <c r="F94" s="61">
        <f t="shared" si="4"/>
        <v>0</v>
      </c>
      <c r="G94" s="12"/>
      <c r="H94" s="312">
        <f t="shared" si="1"/>
        <v>0</v>
      </c>
      <c r="I94" s="62">
        <f t="shared" si="2"/>
        <v>0</v>
      </c>
      <c r="J94" s="34"/>
      <c r="K94" s="63"/>
      <c r="L94" s="34"/>
      <c r="M94" s="64"/>
    </row>
    <row r="95" spans="1:24" x14ac:dyDescent="0.25">
      <c r="A95" s="4" t="s">
        <v>91</v>
      </c>
      <c r="B95" s="3"/>
      <c r="C95" s="5">
        <v>21.73</v>
      </c>
      <c r="D95" s="60" t="s">
        <v>38</v>
      </c>
      <c r="E95" s="5">
        <v>26.97</v>
      </c>
      <c r="F95" s="61">
        <f t="shared" si="4"/>
        <v>0</v>
      </c>
      <c r="G95" s="12"/>
      <c r="H95" s="312">
        <f t="shared" si="1"/>
        <v>0</v>
      </c>
      <c r="I95" s="62">
        <f t="shared" si="2"/>
        <v>0</v>
      </c>
      <c r="J95" s="34"/>
      <c r="K95" s="63"/>
      <c r="L95" s="34"/>
      <c r="M95" s="64"/>
    </row>
    <row r="96" spans="1:24" x14ac:dyDescent="0.25">
      <c r="A96" s="4" t="s">
        <v>92</v>
      </c>
      <c r="B96" s="3"/>
      <c r="C96" s="5">
        <v>18.73</v>
      </c>
      <c r="D96" s="60" t="s">
        <v>38</v>
      </c>
      <c r="E96" s="5">
        <v>23.22</v>
      </c>
      <c r="F96" s="61">
        <f t="shared" si="4"/>
        <v>0</v>
      </c>
      <c r="G96" s="12"/>
      <c r="H96" s="312">
        <f t="shared" si="1"/>
        <v>0</v>
      </c>
      <c r="I96" s="62">
        <f t="shared" si="2"/>
        <v>0</v>
      </c>
      <c r="J96" s="34"/>
      <c r="K96" s="63"/>
      <c r="L96" s="34"/>
      <c r="M96" s="64"/>
    </row>
    <row r="97" spans="1:13" x14ac:dyDescent="0.25">
      <c r="A97" s="4" t="s">
        <v>93</v>
      </c>
      <c r="B97" s="3"/>
      <c r="C97" s="5">
        <v>20.22</v>
      </c>
      <c r="D97" s="60" t="s">
        <v>38</v>
      </c>
      <c r="E97" s="5">
        <v>25.47</v>
      </c>
      <c r="F97" s="61">
        <f t="shared" si="4"/>
        <v>0</v>
      </c>
      <c r="G97" s="12"/>
      <c r="H97" s="312">
        <f t="shared" si="1"/>
        <v>0</v>
      </c>
      <c r="I97" s="62">
        <f t="shared" si="2"/>
        <v>0</v>
      </c>
      <c r="J97" s="34"/>
      <c r="K97" s="63"/>
      <c r="L97" s="34"/>
      <c r="M97" s="64"/>
    </row>
    <row r="98" spans="1:13" x14ac:dyDescent="0.25">
      <c r="A98" s="4" t="s">
        <v>94</v>
      </c>
      <c r="B98" s="3"/>
      <c r="C98" s="5">
        <v>18.73</v>
      </c>
      <c r="D98" s="60" t="s">
        <v>38</v>
      </c>
      <c r="E98" s="5">
        <v>23.22</v>
      </c>
      <c r="F98" s="61">
        <f t="shared" si="4"/>
        <v>0</v>
      </c>
      <c r="G98" s="12"/>
      <c r="H98" s="312">
        <f t="shared" si="1"/>
        <v>0</v>
      </c>
      <c r="I98" s="62">
        <f t="shared" si="2"/>
        <v>0</v>
      </c>
      <c r="J98" s="34"/>
      <c r="K98" s="63"/>
      <c r="L98" s="34"/>
      <c r="M98" s="64"/>
    </row>
    <row r="99" spans="1:13" x14ac:dyDescent="0.25">
      <c r="A99" s="4" t="s">
        <v>95</v>
      </c>
      <c r="B99" s="3"/>
      <c r="C99" s="5">
        <v>18.73</v>
      </c>
      <c r="D99" s="60" t="s">
        <v>38</v>
      </c>
      <c r="E99" s="5">
        <v>23.22</v>
      </c>
      <c r="F99" s="61">
        <f t="shared" si="4"/>
        <v>0</v>
      </c>
      <c r="G99" s="12"/>
      <c r="H99" s="312">
        <f t="shared" si="1"/>
        <v>0</v>
      </c>
      <c r="I99" s="62">
        <f t="shared" si="2"/>
        <v>0</v>
      </c>
      <c r="J99" s="34"/>
      <c r="K99" s="63"/>
      <c r="L99" s="34"/>
      <c r="M99" s="64"/>
    </row>
    <row r="100" spans="1:13" x14ac:dyDescent="0.25">
      <c r="A100" s="4" t="s">
        <v>96</v>
      </c>
      <c r="B100" s="3"/>
      <c r="C100" s="5">
        <v>18.73</v>
      </c>
      <c r="D100" s="60" t="s">
        <v>38</v>
      </c>
      <c r="E100" s="5">
        <v>23.22</v>
      </c>
      <c r="F100" s="61">
        <f t="shared" si="4"/>
        <v>0</v>
      </c>
      <c r="G100" s="12"/>
      <c r="H100" s="312">
        <f t="shared" si="1"/>
        <v>0</v>
      </c>
      <c r="I100" s="62">
        <f t="shared" si="2"/>
        <v>0</v>
      </c>
      <c r="J100" s="34"/>
      <c r="K100" s="63"/>
      <c r="L100" s="34"/>
      <c r="M100" s="64"/>
    </row>
    <row r="101" spans="1:13" x14ac:dyDescent="0.25">
      <c r="A101" s="51"/>
      <c r="B101" s="56"/>
      <c r="C101" s="34"/>
      <c r="D101" s="32"/>
      <c r="E101" s="32"/>
      <c r="F101" s="65"/>
      <c r="G101" s="12"/>
      <c r="H101" s="312">
        <f t="shared" si="1"/>
        <v>0</v>
      </c>
      <c r="I101" s="62">
        <f t="shared" si="2"/>
        <v>0</v>
      </c>
      <c r="J101" s="34"/>
      <c r="K101" s="63"/>
      <c r="L101" s="32"/>
      <c r="M101" s="64"/>
    </row>
    <row r="102" spans="1:13" x14ac:dyDescent="0.25">
      <c r="A102" s="55" t="s">
        <v>7</v>
      </c>
      <c r="B102" s="56"/>
      <c r="C102" s="34"/>
      <c r="D102" s="32"/>
      <c r="E102" s="32"/>
      <c r="F102" s="65"/>
      <c r="G102" s="12"/>
      <c r="H102" s="312">
        <f t="shared" si="1"/>
        <v>0</v>
      </c>
      <c r="I102" s="62">
        <f t="shared" si="2"/>
        <v>0</v>
      </c>
      <c r="J102" s="34"/>
      <c r="K102" s="63"/>
      <c r="L102" s="32"/>
      <c r="M102" s="64"/>
    </row>
    <row r="103" spans="1:13" x14ac:dyDescent="0.25">
      <c r="A103" s="4" t="s">
        <v>97</v>
      </c>
      <c r="B103" s="3"/>
      <c r="C103" s="5">
        <v>771.63</v>
      </c>
      <c r="D103" s="60" t="s">
        <v>214</v>
      </c>
      <c r="E103" s="5">
        <v>771.63</v>
      </c>
      <c r="F103" s="61">
        <f t="shared" ref="F103:F123" si="5">IF($B$256="Y",B103*E103,B103*C103)</f>
        <v>0</v>
      </c>
      <c r="G103" s="12"/>
      <c r="H103" s="312">
        <f t="shared" si="1"/>
        <v>0</v>
      </c>
      <c r="I103" s="62">
        <f t="shared" si="2"/>
        <v>0</v>
      </c>
      <c r="J103" s="34"/>
      <c r="K103" s="63"/>
      <c r="L103" s="34"/>
      <c r="M103" s="64"/>
    </row>
    <row r="104" spans="1:13" x14ac:dyDescent="0.25">
      <c r="A104" s="4" t="s">
        <v>98</v>
      </c>
      <c r="B104" s="3"/>
      <c r="C104" s="5">
        <v>116.12</v>
      </c>
      <c r="D104" s="60" t="s">
        <v>37</v>
      </c>
      <c r="E104" s="5">
        <v>116.12</v>
      </c>
      <c r="F104" s="61">
        <f t="shared" si="5"/>
        <v>0</v>
      </c>
      <c r="G104" s="12"/>
      <c r="H104" s="312">
        <f t="shared" si="1"/>
        <v>0</v>
      </c>
      <c r="I104" s="62">
        <f t="shared" si="2"/>
        <v>0</v>
      </c>
      <c r="J104" s="34"/>
      <c r="K104" s="63"/>
      <c r="L104" s="34"/>
      <c r="M104" s="64"/>
    </row>
    <row r="105" spans="1:13" x14ac:dyDescent="0.25">
      <c r="A105" s="4" t="s">
        <v>99</v>
      </c>
      <c r="B105" s="3"/>
      <c r="C105" s="5">
        <v>116.12</v>
      </c>
      <c r="D105" s="60" t="s">
        <v>37</v>
      </c>
      <c r="E105" s="5">
        <v>116.12</v>
      </c>
      <c r="F105" s="61">
        <f t="shared" si="5"/>
        <v>0</v>
      </c>
      <c r="G105" s="12"/>
      <c r="H105" s="312">
        <f t="shared" si="1"/>
        <v>0</v>
      </c>
      <c r="I105" s="62">
        <f t="shared" si="2"/>
        <v>0</v>
      </c>
      <c r="J105" s="34"/>
      <c r="K105" s="63"/>
      <c r="L105" s="34"/>
      <c r="M105" s="64"/>
    </row>
    <row r="106" spans="1:13" x14ac:dyDescent="0.25">
      <c r="A106" s="4" t="s">
        <v>100</v>
      </c>
      <c r="B106" s="3"/>
      <c r="C106" s="5">
        <v>3.14</v>
      </c>
      <c r="D106" s="60" t="s">
        <v>38</v>
      </c>
      <c r="E106" s="5">
        <v>3.91</v>
      </c>
      <c r="F106" s="258">
        <f t="shared" si="5"/>
        <v>0</v>
      </c>
      <c r="G106" s="12"/>
      <c r="H106" s="312">
        <f t="shared" si="1"/>
        <v>0</v>
      </c>
      <c r="I106" s="62">
        <f t="shared" si="2"/>
        <v>0</v>
      </c>
      <c r="J106" s="34"/>
      <c r="K106" s="63"/>
      <c r="L106" s="34"/>
      <c r="M106" s="64"/>
    </row>
    <row r="107" spans="1:13" x14ac:dyDescent="0.25">
      <c r="A107" s="4" t="s">
        <v>101</v>
      </c>
      <c r="B107" s="3"/>
      <c r="C107" s="5">
        <v>462.96</v>
      </c>
      <c r="D107" s="60" t="s">
        <v>37</v>
      </c>
      <c r="E107" s="5">
        <v>462.96</v>
      </c>
      <c r="F107" s="61">
        <f t="shared" si="5"/>
        <v>0</v>
      </c>
      <c r="G107" s="12"/>
      <c r="H107" s="312">
        <f t="shared" si="1"/>
        <v>0</v>
      </c>
      <c r="I107" s="62">
        <f t="shared" si="2"/>
        <v>0</v>
      </c>
      <c r="J107" s="34"/>
      <c r="K107" s="63"/>
      <c r="L107" s="34"/>
      <c r="M107" s="64"/>
    </row>
    <row r="108" spans="1:13" x14ac:dyDescent="0.25">
      <c r="A108" s="4" t="s">
        <v>102</v>
      </c>
      <c r="B108" s="3"/>
      <c r="C108" s="5">
        <v>771.63</v>
      </c>
      <c r="D108" s="60" t="s">
        <v>37</v>
      </c>
      <c r="E108" s="5">
        <v>771.63</v>
      </c>
      <c r="F108" s="61">
        <f t="shared" si="5"/>
        <v>0</v>
      </c>
      <c r="G108" s="12"/>
      <c r="H108" s="312">
        <f t="shared" si="1"/>
        <v>0</v>
      </c>
      <c r="I108" s="62">
        <f t="shared" si="2"/>
        <v>0</v>
      </c>
      <c r="J108" s="34"/>
      <c r="K108" s="63"/>
      <c r="L108" s="34"/>
      <c r="M108" s="64"/>
    </row>
    <row r="109" spans="1:13" ht="12.75" customHeight="1" x14ac:dyDescent="0.25">
      <c r="A109" s="4" t="s">
        <v>103</v>
      </c>
      <c r="B109" s="3"/>
      <c r="C109" s="5">
        <v>77.17</v>
      </c>
      <c r="D109" s="60" t="s">
        <v>37</v>
      </c>
      <c r="E109" s="5">
        <v>92.89</v>
      </c>
      <c r="F109" s="61">
        <f t="shared" si="5"/>
        <v>0</v>
      </c>
      <c r="G109" s="12"/>
      <c r="H109" s="312">
        <f t="shared" si="1"/>
        <v>0</v>
      </c>
      <c r="I109" s="62">
        <f t="shared" si="2"/>
        <v>0</v>
      </c>
      <c r="J109" s="34"/>
      <c r="K109" s="63"/>
      <c r="L109" s="34"/>
      <c r="M109" s="64"/>
    </row>
    <row r="110" spans="1:13" ht="12.75" customHeight="1" x14ac:dyDescent="0.25">
      <c r="A110" s="4" t="s">
        <v>104</v>
      </c>
      <c r="B110" s="3"/>
      <c r="C110" s="5">
        <v>77.17</v>
      </c>
      <c r="D110" s="60" t="s">
        <v>37</v>
      </c>
      <c r="E110" s="5">
        <v>92.89</v>
      </c>
      <c r="F110" s="61">
        <f t="shared" si="5"/>
        <v>0</v>
      </c>
      <c r="G110" s="12"/>
      <c r="H110" s="312">
        <f t="shared" si="1"/>
        <v>0</v>
      </c>
      <c r="I110" s="62">
        <f t="shared" si="2"/>
        <v>0</v>
      </c>
      <c r="J110" s="34"/>
      <c r="K110" s="63"/>
      <c r="L110" s="34"/>
      <c r="M110" s="64"/>
    </row>
    <row r="111" spans="1:13" ht="12.75" customHeight="1" x14ac:dyDescent="0.25">
      <c r="A111" s="4" t="s">
        <v>105</v>
      </c>
      <c r="B111" s="3"/>
      <c r="C111" s="5">
        <v>65.180000000000007</v>
      </c>
      <c r="D111" s="60" t="s">
        <v>37</v>
      </c>
      <c r="E111" s="5">
        <v>77.91</v>
      </c>
      <c r="F111" s="61">
        <f t="shared" si="5"/>
        <v>0</v>
      </c>
      <c r="G111" s="12"/>
      <c r="H111" s="312">
        <f t="shared" si="1"/>
        <v>0</v>
      </c>
      <c r="I111" s="62">
        <f t="shared" si="2"/>
        <v>0</v>
      </c>
      <c r="J111" s="34"/>
      <c r="K111" s="63"/>
      <c r="L111" s="34"/>
      <c r="M111" s="64"/>
    </row>
    <row r="112" spans="1:13" ht="12.75" customHeight="1" x14ac:dyDescent="0.25">
      <c r="A112" s="4" t="s">
        <v>106</v>
      </c>
      <c r="B112" s="3"/>
      <c r="C112" s="5">
        <v>15.73</v>
      </c>
      <c r="D112" s="60" t="s">
        <v>38</v>
      </c>
      <c r="E112" s="5">
        <v>18.73</v>
      </c>
      <c r="F112" s="61">
        <f t="shared" si="5"/>
        <v>0</v>
      </c>
      <c r="G112" s="12"/>
      <c r="H112" s="312">
        <f t="shared" si="1"/>
        <v>0</v>
      </c>
      <c r="I112" s="62">
        <f t="shared" si="2"/>
        <v>0</v>
      </c>
      <c r="J112" s="34"/>
      <c r="K112" s="63"/>
      <c r="L112" s="34"/>
      <c r="M112" s="64"/>
    </row>
    <row r="113" spans="1:13" ht="12.75" customHeight="1" x14ac:dyDescent="0.25">
      <c r="A113" s="4" t="s">
        <v>107</v>
      </c>
      <c r="B113" s="3"/>
      <c r="C113" s="5">
        <v>232.23</v>
      </c>
      <c r="D113" s="60" t="s">
        <v>37</v>
      </c>
      <c r="E113" s="5">
        <v>314.64</v>
      </c>
      <c r="F113" s="61">
        <f t="shared" si="5"/>
        <v>0</v>
      </c>
      <c r="G113" s="12"/>
      <c r="H113" s="312">
        <f t="shared" si="1"/>
        <v>0</v>
      </c>
      <c r="I113" s="62">
        <f t="shared" si="2"/>
        <v>0</v>
      </c>
      <c r="J113" s="34"/>
      <c r="K113" s="63"/>
      <c r="L113" s="34"/>
      <c r="M113" s="64"/>
    </row>
    <row r="114" spans="1:13" ht="12.75" customHeight="1" x14ac:dyDescent="0.25">
      <c r="A114" s="4" t="s">
        <v>108</v>
      </c>
      <c r="B114" s="3"/>
      <c r="C114" s="5">
        <v>4.6399999999999997</v>
      </c>
      <c r="D114" s="60" t="s">
        <v>36</v>
      </c>
      <c r="E114" s="5">
        <v>6.3</v>
      </c>
      <c r="F114" s="61">
        <f t="shared" si="5"/>
        <v>0</v>
      </c>
      <c r="G114" s="12"/>
      <c r="H114" s="312">
        <f t="shared" si="1"/>
        <v>0</v>
      </c>
      <c r="I114" s="62">
        <f t="shared" si="2"/>
        <v>0</v>
      </c>
      <c r="J114" s="34"/>
      <c r="K114" s="63"/>
      <c r="L114" s="34"/>
      <c r="M114" s="64"/>
    </row>
    <row r="115" spans="1:13" ht="12.75" customHeight="1" x14ac:dyDescent="0.25">
      <c r="A115" s="4" t="s">
        <v>109</v>
      </c>
      <c r="B115" s="3"/>
      <c r="C115" s="5">
        <v>65.180000000000007</v>
      </c>
      <c r="D115" s="60" t="s">
        <v>38</v>
      </c>
      <c r="E115" s="5">
        <v>69.67</v>
      </c>
      <c r="F115" s="61">
        <f t="shared" si="5"/>
        <v>0</v>
      </c>
      <c r="G115" s="12"/>
      <c r="H115" s="312">
        <f t="shared" si="1"/>
        <v>0</v>
      </c>
      <c r="I115" s="62">
        <f t="shared" si="2"/>
        <v>0</v>
      </c>
      <c r="J115" s="34"/>
      <c r="K115" s="63"/>
      <c r="L115" s="34"/>
      <c r="M115" s="64"/>
    </row>
    <row r="116" spans="1:13" ht="12.75" customHeight="1" x14ac:dyDescent="0.25">
      <c r="A116" s="4" t="s">
        <v>110</v>
      </c>
      <c r="B116" s="3"/>
      <c r="C116" s="5">
        <v>18.73</v>
      </c>
      <c r="D116" s="60" t="s">
        <v>214</v>
      </c>
      <c r="E116" s="5">
        <v>23.22</v>
      </c>
      <c r="F116" s="61">
        <f t="shared" si="5"/>
        <v>0</v>
      </c>
      <c r="G116" s="12"/>
      <c r="H116" s="312">
        <f t="shared" si="1"/>
        <v>0</v>
      </c>
      <c r="I116" s="62">
        <f t="shared" si="2"/>
        <v>0</v>
      </c>
      <c r="J116" s="34"/>
      <c r="K116" s="63"/>
      <c r="L116" s="34"/>
      <c r="M116" s="64"/>
    </row>
    <row r="117" spans="1:13" ht="12.75" customHeight="1" x14ac:dyDescent="0.25">
      <c r="A117" s="4" t="s">
        <v>111</v>
      </c>
      <c r="B117" s="3"/>
      <c r="C117" s="5">
        <v>23.22</v>
      </c>
      <c r="D117" s="60" t="s">
        <v>38</v>
      </c>
      <c r="E117" s="5">
        <v>30.87</v>
      </c>
      <c r="F117" s="61">
        <f t="shared" si="5"/>
        <v>0</v>
      </c>
      <c r="G117" s="12"/>
      <c r="H117" s="312">
        <f t="shared" si="1"/>
        <v>0</v>
      </c>
      <c r="I117" s="62">
        <f t="shared" si="2"/>
        <v>0</v>
      </c>
      <c r="J117" s="34"/>
      <c r="K117" s="63"/>
      <c r="L117" s="34"/>
      <c r="M117" s="64"/>
    </row>
    <row r="118" spans="1:13" ht="12.75" customHeight="1" x14ac:dyDescent="0.25">
      <c r="A118" s="4" t="s">
        <v>112</v>
      </c>
      <c r="B118" s="3"/>
      <c r="C118" s="5">
        <v>30.09</v>
      </c>
      <c r="D118" s="60" t="s">
        <v>38</v>
      </c>
      <c r="E118" s="5">
        <v>41.95</v>
      </c>
      <c r="F118" s="61">
        <f t="shared" si="5"/>
        <v>0</v>
      </c>
      <c r="G118" s="12"/>
      <c r="H118" s="312">
        <f t="shared" si="1"/>
        <v>0</v>
      </c>
      <c r="I118" s="62">
        <f t="shared" si="2"/>
        <v>0</v>
      </c>
      <c r="J118" s="34"/>
      <c r="K118" s="63"/>
      <c r="L118" s="34"/>
      <c r="M118" s="64"/>
    </row>
    <row r="119" spans="1:13" ht="12.75" customHeight="1" x14ac:dyDescent="0.25">
      <c r="A119" s="4" t="s">
        <v>223</v>
      </c>
      <c r="B119" s="3"/>
      <c r="C119" s="5">
        <v>663.75</v>
      </c>
      <c r="D119" s="60" t="s">
        <v>214</v>
      </c>
      <c r="E119" s="5">
        <v>803.09</v>
      </c>
      <c r="F119" s="61">
        <f t="shared" si="5"/>
        <v>0</v>
      </c>
      <c r="G119" s="12"/>
      <c r="H119" s="312">
        <f t="shared" si="1"/>
        <v>0</v>
      </c>
      <c r="I119" s="62">
        <f t="shared" si="2"/>
        <v>0</v>
      </c>
      <c r="J119" s="34"/>
      <c r="K119" s="63"/>
      <c r="L119" s="34"/>
      <c r="M119" s="64"/>
    </row>
    <row r="120" spans="1:13" x14ac:dyDescent="0.25">
      <c r="A120" s="4" t="s">
        <v>113</v>
      </c>
      <c r="B120" s="3"/>
      <c r="C120" s="5">
        <v>602.30999999999995</v>
      </c>
      <c r="D120" s="60" t="s">
        <v>214</v>
      </c>
      <c r="E120" s="5">
        <v>710.19</v>
      </c>
      <c r="F120" s="61">
        <f t="shared" si="5"/>
        <v>0</v>
      </c>
      <c r="G120" s="12"/>
      <c r="H120" s="312">
        <f t="shared" si="1"/>
        <v>0</v>
      </c>
      <c r="I120" s="62">
        <f t="shared" si="2"/>
        <v>0</v>
      </c>
      <c r="J120" s="34"/>
      <c r="K120" s="63"/>
      <c r="L120" s="34"/>
      <c r="M120" s="64"/>
    </row>
    <row r="121" spans="1:13" x14ac:dyDescent="0.25">
      <c r="A121" s="4" t="s">
        <v>114</v>
      </c>
      <c r="B121" s="3"/>
      <c r="C121" s="5">
        <v>139.35</v>
      </c>
      <c r="D121" s="60" t="s">
        <v>214</v>
      </c>
      <c r="E121" s="5">
        <v>154.33000000000001</v>
      </c>
      <c r="F121" s="61">
        <f t="shared" si="5"/>
        <v>0</v>
      </c>
      <c r="G121" s="12"/>
      <c r="H121" s="312">
        <f t="shared" si="1"/>
        <v>0</v>
      </c>
      <c r="I121" s="62">
        <f t="shared" si="2"/>
        <v>0</v>
      </c>
      <c r="J121" s="34"/>
      <c r="K121" s="63"/>
      <c r="L121" s="34"/>
      <c r="M121" s="64"/>
    </row>
    <row r="122" spans="1:13" x14ac:dyDescent="0.25">
      <c r="A122" s="4" t="s">
        <v>115</v>
      </c>
      <c r="B122" s="3"/>
      <c r="C122" s="5">
        <v>1156.69</v>
      </c>
      <c r="D122" s="60" t="s">
        <v>214</v>
      </c>
      <c r="E122" s="5">
        <v>1156.69</v>
      </c>
      <c r="F122" s="61">
        <f t="shared" si="5"/>
        <v>0</v>
      </c>
      <c r="G122" s="12"/>
      <c r="H122" s="312">
        <f t="shared" si="1"/>
        <v>0</v>
      </c>
      <c r="I122" s="62">
        <f t="shared" si="2"/>
        <v>0</v>
      </c>
      <c r="J122" s="34"/>
      <c r="K122" s="63"/>
      <c r="L122" s="34"/>
      <c r="M122" s="64"/>
    </row>
    <row r="123" spans="1:13" x14ac:dyDescent="0.25">
      <c r="A123" s="4" t="s">
        <v>116</v>
      </c>
      <c r="B123" s="3"/>
      <c r="C123" s="5">
        <v>2159.0500000000002</v>
      </c>
      <c r="D123" s="60" t="s">
        <v>214</v>
      </c>
      <c r="E123" s="5">
        <v>2159.0500000000002</v>
      </c>
      <c r="F123" s="61">
        <f t="shared" si="5"/>
        <v>0</v>
      </c>
      <c r="G123" s="12"/>
      <c r="H123" s="312">
        <f t="shared" si="1"/>
        <v>0</v>
      </c>
      <c r="I123" s="62">
        <f t="shared" si="2"/>
        <v>0</v>
      </c>
      <c r="J123" s="34"/>
      <c r="K123" s="63"/>
      <c r="L123" s="34"/>
      <c r="M123" s="64"/>
    </row>
    <row r="124" spans="1:13" x14ac:dyDescent="0.25">
      <c r="A124" s="4" t="s">
        <v>224</v>
      </c>
      <c r="B124" s="3"/>
      <c r="C124" s="5"/>
      <c r="D124" s="60"/>
      <c r="E124" s="5"/>
      <c r="F124" s="61">
        <f>B124</f>
        <v>0</v>
      </c>
      <c r="G124" s="12"/>
      <c r="H124" s="312">
        <f t="shared" si="1"/>
        <v>0</v>
      </c>
      <c r="I124" s="62">
        <f t="shared" si="2"/>
        <v>0</v>
      </c>
      <c r="J124" s="34"/>
      <c r="K124" s="63"/>
      <c r="L124" s="34"/>
      <c r="M124" s="64"/>
    </row>
    <row r="125" spans="1:13" ht="15" customHeight="1" x14ac:dyDescent="0.25">
      <c r="A125" s="195"/>
      <c r="B125" s="72"/>
      <c r="C125" s="73"/>
      <c r="D125" s="73"/>
      <c r="E125" s="71"/>
      <c r="F125" s="196"/>
      <c r="G125" s="12"/>
      <c r="H125" s="312">
        <f t="shared" si="1"/>
        <v>0</v>
      </c>
      <c r="I125" s="62">
        <f t="shared" si="2"/>
        <v>0</v>
      </c>
      <c r="J125" s="34"/>
      <c r="K125" s="63"/>
      <c r="L125" s="34"/>
      <c r="M125" s="64"/>
    </row>
    <row r="126" spans="1:13" hidden="1" x14ac:dyDescent="0.25">
      <c r="A126" s="54" t="s">
        <v>8</v>
      </c>
      <c r="B126" s="74"/>
      <c r="C126" s="75"/>
      <c r="D126" s="76"/>
      <c r="E126" s="77"/>
      <c r="F126" s="78"/>
      <c r="G126" s="12"/>
      <c r="H126" s="312">
        <f t="shared" si="1"/>
        <v>0</v>
      </c>
      <c r="I126" s="62">
        <f t="shared" si="2"/>
        <v>0</v>
      </c>
      <c r="J126" s="34"/>
      <c r="K126" s="63"/>
      <c r="L126" s="32"/>
      <c r="M126" s="64"/>
    </row>
    <row r="127" spans="1:13" hidden="1" x14ac:dyDescent="0.25">
      <c r="A127" s="79" t="s">
        <v>9</v>
      </c>
      <c r="B127" s="80"/>
      <c r="C127" s="81"/>
      <c r="D127" s="82"/>
      <c r="E127" s="83"/>
      <c r="F127" s="84"/>
      <c r="G127" s="12"/>
      <c r="H127" s="312">
        <f t="shared" si="1"/>
        <v>0</v>
      </c>
      <c r="I127" s="62">
        <f t="shared" si="2"/>
        <v>0</v>
      </c>
      <c r="J127" s="34"/>
      <c r="K127" s="63"/>
      <c r="L127" s="32"/>
      <c r="M127" s="64"/>
    </row>
    <row r="128" spans="1:13" hidden="1" x14ac:dyDescent="0.25">
      <c r="A128" s="79" t="s">
        <v>10</v>
      </c>
      <c r="B128" s="85"/>
      <c r="C128" s="81">
        <v>105</v>
      </c>
      <c r="D128" s="82"/>
      <c r="E128" s="83"/>
      <c r="F128" s="84">
        <f t="shared" ref="F128:F133" si="6">B128*C128</f>
        <v>0</v>
      </c>
      <c r="G128" s="12"/>
      <c r="H128" s="312">
        <f t="shared" si="1"/>
        <v>0</v>
      </c>
      <c r="I128" s="62">
        <f t="shared" si="2"/>
        <v>0</v>
      </c>
      <c r="J128" s="34"/>
      <c r="K128" s="63"/>
      <c r="L128" s="32"/>
      <c r="M128" s="64"/>
    </row>
    <row r="129" spans="1:13" hidden="1" x14ac:dyDescent="0.25">
      <c r="A129" s="79" t="s">
        <v>11</v>
      </c>
      <c r="B129" s="85"/>
      <c r="C129" s="81">
        <v>99</v>
      </c>
      <c r="D129" s="82"/>
      <c r="E129" s="83"/>
      <c r="F129" s="84">
        <f t="shared" si="6"/>
        <v>0</v>
      </c>
      <c r="G129" s="12"/>
      <c r="H129" s="312">
        <f t="shared" si="1"/>
        <v>0</v>
      </c>
      <c r="I129" s="62">
        <f t="shared" si="2"/>
        <v>0</v>
      </c>
      <c r="J129" s="34"/>
      <c r="K129" s="63"/>
      <c r="L129" s="32"/>
      <c r="M129" s="64"/>
    </row>
    <row r="130" spans="1:13" hidden="1" x14ac:dyDescent="0.25">
      <c r="A130" s="79" t="s">
        <v>12</v>
      </c>
      <c r="B130" s="85"/>
      <c r="C130" s="81">
        <v>96</v>
      </c>
      <c r="D130" s="82"/>
      <c r="E130" s="83"/>
      <c r="F130" s="84">
        <f t="shared" si="6"/>
        <v>0</v>
      </c>
      <c r="G130" s="12"/>
      <c r="H130" s="312">
        <f t="shared" si="1"/>
        <v>0</v>
      </c>
      <c r="I130" s="62">
        <f t="shared" si="2"/>
        <v>0</v>
      </c>
      <c r="J130" s="34"/>
      <c r="K130" s="63"/>
      <c r="L130" s="32"/>
      <c r="M130" s="64"/>
    </row>
    <row r="131" spans="1:13" hidden="1" x14ac:dyDescent="0.25">
      <c r="A131" s="79" t="s">
        <v>13</v>
      </c>
      <c r="B131" s="85"/>
      <c r="C131" s="81">
        <v>118</v>
      </c>
      <c r="D131" s="82"/>
      <c r="E131" s="83"/>
      <c r="F131" s="84">
        <f t="shared" si="6"/>
        <v>0</v>
      </c>
      <c r="G131" s="12"/>
      <c r="H131" s="312">
        <f t="shared" si="1"/>
        <v>0</v>
      </c>
      <c r="I131" s="62">
        <f t="shared" si="2"/>
        <v>0</v>
      </c>
      <c r="J131" s="34"/>
      <c r="K131" s="63"/>
      <c r="L131" s="32"/>
      <c r="M131" s="64"/>
    </row>
    <row r="132" spans="1:13" hidden="1" x14ac:dyDescent="0.25">
      <c r="A132" s="79" t="s">
        <v>14</v>
      </c>
      <c r="B132" s="85"/>
      <c r="C132" s="81">
        <v>112</v>
      </c>
      <c r="D132" s="82"/>
      <c r="E132" s="83"/>
      <c r="F132" s="84">
        <f t="shared" si="6"/>
        <v>0</v>
      </c>
      <c r="G132" s="12"/>
      <c r="H132" s="312">
        <f t="shared" si="1"/>
        <v>0</v>
      </c>
      <c r="I132" s="62">
        <f t="shared" si="2"/>
        <v>0</v>
      </c>
      <c r="J132" s="34"/>
      <c r="K132" s="63"/>
      <c r="L132" s="32"/>
      <c r="M132" s="64"/>
    </row>
    <row r="133" spans="1:13" hidden="1" x14ac:dyDescent="0.25">
      <c r="A133" s="79" t="s">
        <v>15</v>
      </c>
      <c r="B133" s="85"/>
      <c r="C133" s="81">
        <v>109</v>
      </c>
      <c r="D133" s="82"/>
      <c r="E133" s="83"/>
      <c r="F133" s="84">
        <f t="shared" si="6"/>
        <v>0</v>
      </c>
      <c r="G133" s="12"/>
      <c r="H133" s="312">
        <f t="shared" si="1"/>
        <v>0</v>
      </c>
      <c r="I133" s="62">
        <f t="shared" si="2"/>
        <v>0</v>
      </c>
      <c r="J133" s="34"/>
      <c r="K133" s="63"/>
      <c r="L133" s="32"/>
      <c r="M133" s="64"/>
    </row>
    <row r="134" spans="1:13" hidden="1" x14ac:dyDescent="0.25">
      <c r="A134" s="79" t="s">
        <v>16</v>
      </c>
      <c r="B134" s="80"/>
      <c r="C134" s="81"/>
      <c r="D134" s="82"/>
      <c r="E134" s="83"/>
      <c r="F134" s="84"/>
      <c r="G134" s="12"/>
      <c r="H134" s="312">
        <f t="shared" si="1"/>
        <v>0</v>
      </c>
      <c r="I134" s="62">
        <f t="shared" si="2"/>
        <v>0</v>
      </c>
      <c r="J134" s="34"/>
      <c r="K134" s="63"/>
      <c r="L134" s="32"/>
      <c r="M134" s="64"/>
    </row>
    <row r="135" spans="1:13" hidden="1" x14ac:dyDescent="0.25">
      <c r="A135" s="79" t="s">
        <v>17</v>
      </c>
      <c r="B135" s="85"/>
      <c r="C135" s="81">
        <v>57</v>
      </c>
      <c r="D135" s="82"/>
      <c r="E135" s="83"/>
      <c r="F135" s="84">
        <f t="shared" ref="F135:F143" si="7">B135*C135</f>
        <v>0</v>
      </c>
      <c r="G135" s="12"/>
      <c r="H135" s="312">
        <f t="shared" ref="H135:H198" si="8">B135*C135</f>
        <v>0</v>
      </c>
      <c r="I135" s="62">
        <f>B135*E135</f>
        <v>0</v>
      </c>
      <c r="J135" s="34"/>
      <c r="K135" s="63"/>
      <c r="L135" s="32"/>
      <c r="M135" s="64"/>
    </row>
    <row r="136" spans="1:13" hidden="1" x14ac:dyDescent="0.25">
      <c r="A136" s="79" t="s">
        <v>18</v>
      </c>
      <c r="B136" s="85"/>
      <c r="C136" s="81">
        <v>71</v>
      </c>
      <c r="D136" s="82"/>
      <c r="E136" s="83"/>
      <c r="F136" s="84">
        <f t="shared" si="7"/>
        <v>0</v>
      </c>
      <c r="G136" s="12"/>
      <c r="H136" s="312">
        <f t="shared" si="8"/>
        <v>0</v>
      </c>
      <c r="I136" s="62">
        <f>B136*E136</f>
        <v>0</v>
      </c>
      <c r="J136" s="34"/>
      <c r="K136" s="63"/>
      <c r="L136" s="32"/>
      <c r="M136" s="64"/>
    </row>
    <row r="137" spans="1:13" hidden="1" x14ac:dyDescent="0.25">
      <c r="A137" s="79" t="s">
        <v>19</v>
      </c>
      <c r="B137" s="85"/>
      <c r="C137" s="81">
        <v>48</v>
      </c>
      <c r="D137" s="82"/>
      <c r="E137" s="83"/>
      <c r="F137" s="84">
        <f t="shared" si="7"/>
        <v>0</v>
      </c>
      <c r="G137" s="12"/>
      <c r="H137" s="312">
        <f t="shared" si="8"/>
        <v>0</v>
      </c>
      <c r="I137" s="62">
        <f>B137*E137</f>
        <v>0</v>
      </c>
      <c r="J137" s="34"/>
      <c r="K137" s="63"/>
      <c r="L137" s="32"/>
      <c r="M137" s="64"/>
    </row>
    <row r="138" spans="1:13" hidden="1" x14ac:dyDescent="0.25">
      <c r="A138" s="79" t="s">
        <v>20</v>
      </c>
      <c r="B138" s="85"/>
      <c r="C138" s="81">
        <v>62</v>
      </c>
      <c r="D138" s="82"/>
      <c r="E138" s="83"/>
      <c r="F138" s="84">
        <f t="shared" si="7"/>
        <v>0</v>
      </c>
      <c r="G138" s="12"/>
      <c r="H138" s="312">
        <f t="shared" si="8"/>
        <v>0</v>
      </c>
      <c r="I138" s="62">
        <f>B138*E138</f>
        <v>0</v>
      </c>
      <c r="J138" s="34"/>
      <c r="K138" s="63"/>
      <c r="L138" s="32"/>
      <c r="M138" s="64"/>
    </row>
    <row r="139" spans="1:13" hidden="1" x14ac:dyDescent="0.25">
      <c r="A139" s="79" t="s">
        <v>21</v>
      </c>
      <c r="B139" s="85"/>
      <c r="C139" s="81">
        <v>12000</v>
      </c>
      <c r="D139" s="82"/>
      <c r="E139" s="83"/>
      <c r="F139" s="84">
        <f t="shared" si="7"/>
        <v>0</v>
      </c>
      <c r="G139" s="12"/>
      <c r="H139" s="312">
        <f t="shared" si="8"/>
        <v>0</v>
      </c>
      <c r="I139" s="62">
        <f>B139*E139</f>
        <v>0</v>
      </c>
      <c r="J139" s="34"/>
      <c r="K139" s="63"/>
      <c r="L139" s="32"/>
      <c r="M139" s="64"/>
    </row>
    <row r="140" spans="1:13" hidden="1" x14ac:dyDescent="0.25">
      <c r="A140" s="79" t="s">
        <v>22</v>
      </c>
      <c r="B140" s="85"/>
      <c r="C140" s="81">
        <v>15000</v>
      </c>
      <c r="D140" s="82"/>
      <c r="E140" s="83"/>
      <c r="F140" s="84">
        <f t="shared" si="7"/>
        <v>0</v>
      </c>
      <c r="G140" s="12"/>
      <c r="H140" s="312">
        <f t="shared" si="8"/>
        <v>0</v>
      </c>
      <c r="I140" s="62">
        <f>B140*E140</f>
        <v>0</v>
      </c>
      <c r="J140" s="34"/>
      <c r="K140" s="63"/>
      <c r="L140" s="32"/>
      <c r="M140" s="64"/>
    </row>
    <row r="141" spans="1:13" hidden="1" x14ac:dyDescent="0.25">
      <c r="A141" s="79" t="s">
        <v>23</v>
      </c>
      <c r="B141" s="85"/>
      <c r="C141" s="81">
        <v>22000</v>
      </c>
      <c r="D141" s="82"/>
      <c r="E141" s="83"/>
      <c r="F141" s="84">
        <f t="shared" si="7"/>
        <v>0</v>
      </c>
      <c r="G141" s="12"/>
      <c r="H141" s="312">
        <f t="shared" si="8"/>
        <v>0</v>
      </c>
      <c r="I141" s="62">
        <f>B141*E141</f>
        <v>0</v>
      </c>
      <c r="J141" s="34"/>
      <c r="K141" s="63"/>
      <c r="L141" s="32"/>
      <c r="M141" s="64"/>
    </row>
    <row r="142" spans="1:13" hidden="1" x14ac:dyDescent="0.25">
      <c r="A142" s="79" t="s">
        <v>24</v>
      </c>
      <c r="B142" s="85"/>
      <c r="C142" s="81">
        <v>4000</v>
      </c>
      <c r="D142" s="82"/>
      <c r="E142" s="83"/>
      <c r="F142" s="84">
        <f t="shared" si="7"/>
        <v>0</v>
      </c>
      <c r="G142" s="12"/>
      <c r="H142" s="312">
        <f t="shared" si="8"/>
        <v>0</v>
      </c>
      <c r="I142" s="62">
        <f>B142*E142</f>
        <v>0</v>
      </c>
      <c r="J142" s="34"/>
      <c r="K142" s="63"/>
      <c r="L142" s="32"/>
      <c r="M142" s="64"/>
    </row>
    <row r="143" spans="1:13" hidden="1" x14ac:dyDescent="0.25">
      <c r="A143" s="79" t="s">
        <v>25</v>
      </c>
      <c r="B143" s="85"/>
      <c r="C143" s="81">
        <v>1900</v>
      </c>
      <c r="D143" s="82"/>
      <c r="E143" s="83"/>
      <c r="F143" s="84">
        <f t="shared" si="7"/>
        <v>0</v>
      </c>
      <c r="G143" s="12"/>
      <c r="H143" s="312">
        <f t="shared" si="8"/>
        <v>0</v>
      </c>
      <c r="I143" s="62">
        <f>B143*E143</f>
        <v>0</v>
      </c>
      <c r="J143" s="34"/>
      <c r="K143" s="63"/>
      <c r="L143" s="32"/>
      <c r="M143" s="64"/>
    </row>
    <row r="144" spans="1:13" hidden="1" x14ac:dyDescent="0.25">
      <c r="A144" s="79" t="s">
        <v>26</v>
      </c>
      <c r="B144" s="80"/>
      <c r="C144" s="81"/>
      <c r="D144" s="82"/>
      <c r="E144" s="83"/>
      <c r="F144" s="84"/>
      <c r="G144" s="12"/>
      <c r="H144" s="312">
        <f t="shared" si="8"/>
        <v>0</v>
      </c>
      <c r="I144" s="62">
        <f>B144*E144</f>
        <v>0</v>
      </c>
      <c r="J144" s="34"/>
      <c r="K144" s="63"/>
      <c r="L144" s="32"/>
      <c r="M144" s="64"/>
    </row>
    <row r="145" spans="1:13" hidden="1" x14ac:dyDescent="0.25">
      <c r="A145" s="79" t="s">
        <v>27</v>
      </c>
      <c r="B145" s="85"/>
      <c r="C145" s="81">
        <v>8500</v>
      </c>
      <c r="D145" s="82"/>
      <c r="E145" s="83"/>
      <c r="F145" s="84">
        <f>B145*C145</f>
        <v>0</v>
      </c>
      <c r="G145" s="12"/>
      <c r="H145" s="312">
        <f t="shared" si="8"/>
        <v>0</v>
      </c>
      <c r="I145" s="62">
        <f>B145*E145</f>
        <v>0</v>
      </c>
      <c r="J145" s="34"/>
      <c r="K145" s="63"/>
      <c r="L145" s="32"/>
      <c r="M145" s="64"/>
    </row>
    <row r="146" spans="1:13" hidden="1" x14ac:dyDescent="0.25">
      <c r="A146" s="86" t="s">
        <v>28</v>
      </c>
      <c r="B146" s="87"/>
      <c r="C146" s="88">
        <v>5500</v>
      </c>
      <c r="D146" s="89"/>
      <c r="E146" s="90"/>
      <c r="F146" s="91">
        <f>B146*C146</f>
        <v>0</v>
      </c>
      <c r="G146" s="12"/>
      <c r="H146" s="312">
        <f t="shared" si="8"/>
        <v>0</v>
      </c>
      <c r="I146" s="62">
        <f>B146*E146</f>
        <v>0</v>
      </c>
      <c r="J146" s="34"/>
      <c r="K146" s="63"/>
      <c r="L146" s="32"/>
      <c r="M146" s="64"/>
    </row>
    <row r="147" spans="1:13" x14ac:dyDescent="0.25">
      <c r="A147" s="55" t="s">
        <v>29</v>
      </c>
      <c r="B147" s="56"/>
      <c r="C147" s="34"/>
      <c r="D147" s="34"/>
      <c r="E147" s="32"/>
      <c r="F147" s="65"/>
      <c r="G147" s="12"/>
      <c r="H147" s="312">
        <f t="shared" si="8"/>
        <v>0</v>
      </c>
      <c r="I147" s="62">
        <f>B147*E147</f>
        <v>0</v>
      </c>
      <c r="J147" s="34"/>
      <c r="K147" s="63"/>
      <c r="L147" s="32"/>
      <c r="M147" s="64"/>
    </row>
    <row r="148" spans="1:13" x14ac:dyDescent="0.25">
      <c r="A148" s="4" t="s">
        <v>117</v>
      </c>
      <c r="B148" s="3"/>
      <c r="C148" s="5">
        <v>1543.25</v>
      </c>
      <c r="D148" s="60" t="s">
        <v>214</v>
      </c>
      <c r="E148" s="5">
        <v>1543.25</v>
      </c>
      <c r="F148" s="61">
        <f>IF($B$256="Y",B148*E148,B148*C148)</f>
        <v>0</v>
      </c>
      <c r="G148" s="12"/>
      <c r="H148" s="312">
        <f t="shared" si="8"/>
        <v>0</v>
      </c>
      <c r="I148" s="62">
        <f>B148*E148</f>
        <v>0</v>
      </c>
      <c r="J148" s="34"/>
      <c r="K148" s="63"/>
      <c r="L148" s="34"/>
      <c r="M148" s="64"/>
    </row>
    <row r="149" spans="1:13" x14ac:dyDescent="0.25">
      <c r="A149" s="4" t="s">
        <v>118</v>
      </c>
      <c r="B149" s="3"/>
      <c r="C149" s="5">
        <v>2004.72</v>
      </c>
      <c r="D149" s="60" t="s">
        <v>214</v>
      </c>
      <c r="E149" s="5">
        <v>2004.72</v>
      </c>
      <c r="F149" s="61">
        <f>IF($B$256="Y",B149*E149,B149*C149)</f>
        <v>0</v>
      </c>
      <c r="G149" s="12"/>
      <c r="H149" s="312">
        <f t="shared" si="8"/>
        <v>0</v>
      </c>
      <c r="I149" s="62">
        <f>B149*E149</f>
        <v>0</v>
      </c>
      <c r="J149" s="34"/>
      <c r="K149" s="63"/>
      <c r="L149" s="34"/>
      <c r="M149" s="64"/>
    </row>
    <row r="150" spans="1:13" x14ac:dyDescent="0.25">
      <c r="A150" s="4" t="s">
        <v>119</v>
      </c>
      <c r="B150" s="3"/>
      <c r="C150" s="5">
        <v>2467.6999999999998</v>
      </c>
      <c r="D150" s="60" t="s">
        <v>214</v>
      </c>
      <c r="E150" s="5">
        <v>2467.6999999999998</v>
      </c>
      <c r="F150" s="61">
        <f>IF($B$256="Y",B150*E150,B150*C150)</f>
        <v>0</v>
      </c>
      <c r="G150" s="12"/>
      <c r="H150" s="312">
        <f t="shared" si="8"/>
        <v>0</v>
      </c>
      <c r="I150" s="62">
        <f>B150*E150</f>
        <v>0</v>
      </c>
      <c r="J150" s="34"/>
      <c r="K150" s="63"/>
      <c r="L150" s="34"/>
      <c r="M150" s="64"/>
    </row>
    <row r="151" spans="1:13" x14ac:dyDescent="0.25">
      <c r="A151" s="4" t="s">
        <v>120</v>
      </c>
      <c r="B151" s="3"/>
      <c r="C151" s="5">
        <v>4625.25</v>
      </c>
      <c r="D151" s="60" t="s">
        <v>214</v>
      </c>
      <c r="E151" s="5">
        <v>4625.25</v>
      </c>
      <c r="F151" s="61">
        <f>IF($B$256="Y",B151*E151,B151*C151)</f>
        <v>0</v>
      </c>
      <c r="G151" s="12"/>
      <c r="H151" s="312">
        <f t="shared" si="8"/>
        <v>0</v>
      </c>
      <c r="I151" s="62">
        <f>B151*E151</f>
        <v>0</v>
      </c>
      <c r="J151" s="34"/>
      <c r="K151" s="63"/>
      <c r="L151" s="34"/>
      <c r="M151" s="64"/>
    </row>
    <row r="152" spans="1:13" x14ac:dyDescent="0.25">
      <c r="A152" s="31"/>
      <c r="B152" s="197"/>
      <c r="C152" s="30"/>
      <c r="D152" s="31"/>
      <c r="E152" s="31"/>
      <c r="F152" s="198"/>
      <c r="G152" s="12"/>
      <c r="H152" s="312">
        <f t="shared" si="8"/>
        <v>0</v>
      </c>
      <c r="I152" s="62">
        <f>B152*E152</f>
        <v>0</v>
      </c>
      <c r="J152" s="34"/>
      <c r="K152" s="63"/>
      <c r="L152" s="32"/>
      <c r="M152" s="64"/>
    </row>
    <row r="153" spans="1:13" x14ac:dyDescent="0.25">
      <c r="A153" s="55" t="s">
        <v>30</v>
      </c>
      <c r="B153" s="56"/>
      <c r="C153" s="34"/>
      <c r="D153" s="34"/>
      <c r="E153" s="32"/>
      <c r="F153" s="199"/>
      <c r="G153" s="12"/>
      <c r="H153" s="312">
        <f t="shared" si="8"/>
        <v>0</v>
      </c>
      <c r="I153" s="62">
        <f>B153*E153</f>
        <v>0</v>
      </c>
      <c r="J153" s="34"/>
      <c r="K153" s="63"/>
      <c r="L153" s="32"/>
      <c r="M153" s="64"/>
    </row>
    <row r="154" spans="1:13" x14ac:dyDescent="0.25">
      <c r="A154" s="4" t="s">
        <v>121</v>
      </c>
      <c r="B154" s="3"/>
      <c r="C154" s="5">
        <v>6173</v>
      </c>
      <c r="D154" s="60" t="s">
        <v>214</v>
      </c>
      <c r="E154" s="5">
        <v>6173</v>
      </c>
      <c r="F154" s="61">
        <f t="shared" ref="F154:F166" si="9">IF($B$256="Y",B154*E154,B154*C154)</f>
        <v>0</v>
      </c>
      <c r="G154" s="12"/>
      <c r="H154" s="312">
        <f t="shared" si="8"/>
        <v>0</v>
      </c>
      <c r="I154" s="62">
        <f>B154*E154</f>
        <v>0</v>
      </c>
      <c r="J154" s="34"/>
      <c r="K154" s="63"/>
      <c r="L154" s="34"/>
      <c r="M154" s="64"/>
    </row>
    <row r="155" spans="1:13" x14ac:dyDescent="0.25">
      <c r="A155" s="4" t="s">
        <v>122</v>
      </c>
      <c r="B155" s="3"/>
      <c r="C155" s="5">
        <v>6944.61</v>
      </c>
      <c r="D155" s="60" t="s">
        <v>214</v>
      </c>
      <c r="E155" s="5">
        <v>6944.61</v>
      </c>
      <c r="F155" s="61">
        <f t="shared" si="9"/>
        <v>0</v>
      </c>
      <c r="G155" s="12"/>
      <c r="H155" s="312">
        <f t="shared" si="8"/>
        <v>0</v>
      </c>
      <c r="I155" s="62">
        <f>B155*E155</f>
        <v>0</v>
      </c>
      <c r="J155" s="34"/>
      <c r="K155" s="63"/>
      <c r="L155" s="34"/>
      <c r="M155" s="64"/>
    </row>
    <row r="156" spans="1:13" x14ac:dyDescent="0.25">
      <c r="A156" s="4" t="s">
        <v>123</v>
      </c>
      <c r="B156" s="3"/>
      <c r="C156" s="5">
        <v>8487.86</v>
      </c>
      <c r="D156" s="60" t="s">
        <v>214</v>
      </c>
      <c r="E156" s="5">
        <v>8487.86</v>
      </c>
      <c r="F156" s="61">
        <f t="shared" si="9"/>
        <v>0</v>
      </c>
      <c r="G156" s="12"/>
      <c r="H156" s="312">
        <f t="shared" si="8"/>
        <v>0</v>
      </c>
      <c r="I156" s="62">
        <f>B156*E156</f>
        <v>0</v>
      </c>
      <c r="J156" s="34"/>
      <c r="K156" s="63"/>
      <c r="L156" s="34"/>
      <c r="M156" s="64"/>
    </row>
    <row r="157" spans="1:13" x14ac:dyDescent="0.25">
      <c r="A157" s="4" t="s">
        <v>124</v>
      </c>
      <c r="B157" s="3"/>
      <c r="C157" s="5">
        <v>10802.73</v>
      </c>
      <c r="D157" s="60" t="s">
        <v>214</v>
      </c>
      <c r="E157" s="5">
        <v>10802.73</v>
      </c>
      <c r="F157" s="61">
        <f t="shared" si="9"/>
        <v>0</v>
      </c>
      <c r="G157" s="12"/>
      <c r="H157" s="312">
        <f t="shared" si="8"/>
        <v>0</v>
      </c>
      <c r="I157" s="62">
        <f>B157*E157</f>
        <v>0</v>
      </c>
      <c r="J157" s="34"/>
      <c r="K157" s="63"/>
      <c r="L157" s="34"/>
      <c r="M157" s="64"/>
    </row>
    <row r="158" spans="1:13" x14ac:dyDescent="0.25">
      <c r="A158" s="4" t="s">
        <v>125</v>
      </c>
      <c r="B158" s="3"/>
      <c r="C158" s="5">
        <v>12345.98</v>
      </c>
      <c r="D158" s="60" t="s">
        <v>214</v>
      </c>
      <c r="E158" s="5">
        <v>12345.98</v>
      </c>
      <c r="F158" s="61">
        <f t="shared" si="9"/>
        <v>0</v>
      </c>
      <c r="G158" s="12"/>
      <c r="H158" s="312">
        <f t="shared" si="8"/>
        <v>0</v>
      </c>
      <c r="I158" s="62">
        <f>B158*E158</f>
        <v>0</v>
      </c>
      <c r="J158" s="34"/>
      <c r="K158" s="63"/>
      <c r="L158" s="34"/>
      <c r="M158" s="64"/>
    </row>
    <row r="159" spans="1:13" x14ac:dyDescent="0.25">
      <c r="A159" s="4" t="s">
        <v>126</v>
      </c>
      <c r="B159" s="3"/>
      <c r="C159" s="5">
        <v>7715.24</v>
      </c>
      <c r="D159" s="60" t="s">
        <v>214</v>
      </c>
      <c r="E159" s="5">
        <v>7716.24</v>
      </c>
      <c r="F159" s="61">
        <f t="shared" si="9"/>
        <v>0</v>
      </c>
      <c r="G159" s="12"/>
      <c r="H159" s="312">
        <f t="shared" si="8"/>
        <v>0</v>
      </c>
      <c r="I159" s="62">
        <f>B159*E159</f>
        <v>0</v>
      </c>
      <c r="J159" s="34"/>
      <c r="K159" s="63"/>
      <c r="L159" s="34"/>
      <c r="M159" s="64"/>
    </row>
    <row r="160" spans="1:13" x14ac:dyDescent="0.25">
      <c r="A160" s="4" t="s">
        <v>127</v>
      </c>
      <c r="B160" s="3"/>
      <c r="C160" s="5">
        <v>9259.49</v>
      </c>
      <c r="D160" s="60" t="s">
        <v>214</v>
      </c>
      <c r="E160" s="5">
        <v>9259.49</v>
      </c>
      <c r="F160" s="61">
        <f t="shared" si="9"/>
        <v>0</v>
      </c>
      <c r="G160" s="12"/>
      <c r="H160" s="312">
        <f t="shared" si="8"/>
        <v>0</v>
      </c>
      <c r="I160" s="62">
        <f>B160*E160</f>
        <v>0</v>
      </c>
      <c r="J160" s="34"/>
      <c r="K160" s="63"/>
      <c r="L160" s="34"/>
      <c r="M160" s="64"/>
    </row>
    <row r="161" spans="1:13" x14ac:dyDescent="0.25">
      <c r="A161" s="4" t="s">
        <v>128</v>
      </c>
      <c r="B161" s="3"/>
      <c r="C161" s="5">
        <v>10031.1</v>
      </c>
      <c r="D161" s="60" t="s">
        <v>214</v>
      </c>
      <c r="E161" s="5">
        <v>10031.1</v>
      </c>
      <c r="F161" s="61">
        <f t="shared" si="9"/>
        <v>0</v>
      </c>
      <c r="G161" s="12"/>
      <c r="H161" s="312">
        <f t="shared" si="8"/>
        <v>0</v>
      </c>
      <c r="I161" s="62">
        <f>B161*E161</f>
        <v>0</v>
      </c>
      <c r="J161" s="34"/>
      <c r="K161" s="63"/>
      <c r="L161" s="34"/>
      <c r="M161" s="64"/>
    </row>
    <row r="162" spans="1:13" x14ac:dyDescent="0.25">
      <c r="A162" s="4" t="s">
        <v>132</v>
      </c>
      <c r="B162" s="3"/>
      <c r="C162" s="5">
        <v>11574.35</v>
      </c>
      <c r="D162" s="60" t="s">
        <v>214</v>
      </c>
      <c r="E162" s="5">
        <v>11574.35</v>
      </c>
      <c r="F162" s="61">
        <f t="shared" si="9"/>
        <v>0</v>
      </c>
      <c r="G162" s="12"/>
      <c r="H162" s="312">
        <f t="shared" si="8"/>
        <v>0</v>
      </c>
      <c r="I162" s="62">
        <f>B162*E162</f>
        <v>0</v>
      </c>
      <c r="J162" s="34"/>
      <c r="K162" s="63"/>
      <c r="L162" s="34"/>
      <c r="M162" s="64"/>
    </row>
    <row r="163" spans="1:13" x14ac:dyDescent="0.25">
      <c r="A163" s="4" t="s">
        <v>133</v>
      </c>
      <c r="B163" s="3"/>
      <c r="C163" s="5">
        <v>13889.21</v>
      </c>
      <c r="D163" s="60" t="s">
        <v>214</v>
      </c>
      <c r="E163" s="5">
        <v>13889.21</v>
      </c>
      <c r="F163" s="61">
        <f t="shared" si="9"/>
        <v>0</v>
      </c>
      <c r="G163" s="12"/>
      <c r="H163" s="312">
        <f t="shared" si="8"/>
        <v>0</v>
      </c>
      <c r="I163" s="62">
        <f>B163*E163</f>
        <v>0</v>
      </c>
      <c r="J163" s="34"/>
      <c r="K163" s="63"/>
      <c r="L163" s="34"/>
      <c r="M163" s="64"/>
    </row>
    <row r="164" spans="1:13" x14ac:dyDescent="0.25">
      <c r="A164" s="4" t="s">
        <v>131</v>
      </c>
      <c r="B164" s="3"/>
      <c r="C164" s="5">
        <v>16975.72</v>
      </c>
      <c r="D164" s="60" t="s">
        <v>214</v>
      </c>
      <c r="E164" s="5">
        <v>16975.72</v>
      </c>
      <c r="F164" s="61">
        <f t="shared" si="9"/>
        <v>0</v>
      </c>
      <c r="G164" s="12"/>
      <c r="H164" s="312">
        <f t="shared" si="8"/>
        <v>0</v>
      </c>
      <c r="I164" s="62">
        <f>B164*E164</f>
        <v>0</v>
      </c>
      <c r="J164" s="34"/>
      <c r="K164" s="63"/>
      <c r="L164" s="34"/>
      <c r="M164" s="64"/>
    </row>
    <row r="165" spans="1:13" x14ac:dyDescent="0.25">
      <c r="A165" s="4" t="s">
        <v>129</v>
      </c>
      <c r="B165" s="3"/>
      <c r="C165" s="5">
        <v>16975.72</v>
      </c>
      <c r="D165" s="60" t="s">
        <v>214</v>
      </c>
      <c r="E165" s="5">
        <v>16975.72</v>
      </c>
      <c r="F165" s="61">
        <f t="shared" si="9"/>
        <v>0</v>
      </c>
      <c r="G165" s="12"/>
      <c r="H165" s="312">
        <f t="shared" si="8"/>
        <v>0</v>
      </c>
      <c r="I165" s="62">
        <f>B165*E165</f>
        <v>0</v>
      </c>
      <c r="J165" s="34"/>
      <c r="K165" s="63"/>
      <c r="L165" s="34"/>
      <c r="M165" s="64"/>
    </row>
    <row r="166" spans="1:13" x14ac:dyDescent="0.25">
      <c r="A166" s="4" t="s">
        <v>130</v>
      </c>
      <c r="B166" s="3"/>
      <c r="C166" s="93">
        <v>18518.98</v>
      </c>
      <c r="D166" s="60" t="s">
        <v>214</v>
      </c>
      <c r="E166" s="93">
        <v>18518.98</v>
      </c>
      <c r="F166" s="61">
        <f t="shared" si="9"/>
        <v>0</v>
      </c>
      <c r="G166" s="12"/>
      <c r="H166" s="312">
        <f t="shared" si="8"/>
        <v>0</v>
      </c>
      <c r="I166" s="62">
        <f>B166*E166</f>
        <v>0</v>
      </c>
      <c r="J166" s="34"/>
      <c r="K166" s="63"/>
      <c r="L166" s="34"/>
      <c r="M166" s="64"/>
    </row>
    <row r="167" spans="1:13" ht="15" customHeight="1" x14ac:dyDescent="0.25">
      <c r="A167" s="94"/>
      <c r="B167" s="294" t="s">
        <v>69</v>
      </c>
      <c r="C167" s="294"/>
      <c r="D167" s="294"/>
      <c r="E167" s="295"/>
      <c r="F167" s="95">
        <f>SUM(F70:F166)</f>
        <v>0</v>
      </c>
      <c r="G167" s="96" t="s">
        <v>42</v>
      </c>
      <c r="H167" s="312"/>
      <c r="I167" s="62"/>
      <c r="J167" s="34"/>
      <c r="K167" s="63"/>
      <c r="L167" s="34"/>
      <c r="M167" s="64"/>
    </row>
    <row r="168" spans="1:13" ht="9" customHeight="1" x14ac:dyDescent="0.25">
      <c r="A168" s="94"/>
      <c r="B168" s="64"/>
      <c r="C168" s="94"/>
      <c r="D168" s="94"/>
      <c r="E168" s="94"/>
      <c r="F168" s="97"/>
      <c r="G168" s="96"/>
      <c r="H168" s="312">
        <f t="shared" si="8"/>
        <v>0</v>
      </c>
      <c r="I168" s="62">
        <f>B168*E168</f>
        <v>0</v>
      </c>
      <c r="J168" s="34"/>
      <c r="K168" s="63"/>
      <c r="L168" s="34"/>
      <c r="M168" s="64"/>
    </row>
    <row r="169" spans="1:13" ht="9" customHeight="1" x14ac:dyDescent="0.25">
      <c r="A169" s="32"/>
      <c r="B169" s="98"/>
      <c r="C169" s="34"/>
      <c r="D169" s="32"/>
      <c r="E169" s="34"/>
      <c r="F169" s="97"/>
      <c r="G169" s="12"/>
      <c r="H169" s="312">
        <f t="shared" si="8"/>
        <v>0</v>
      </c>
      <c r="I169" s="62">
        <f>B169*E169</f>
        <v>0</v>
      </c>
      <c r="J169" s="34"/>
      <c r="K169" s="63"/>
      <c r="L169" s="34"/>
      <c r="M169" s="64"/>
    </row>
    <row r="170" spans="1:13" x14ac:dyDescent="0.2">
      <c r="A170" s="277" t="s">
        <v>193</v>
      </c>
      <c r="B170" s="278"/>
      <c r="C170" s="278"/>
      <c r="D170" s="278"/>
      <c r="E170" s="278"/>
      <c r="F170" s="279"/>
      <c r="G170" s="12"/>
      <c r="H170" s="312">
        <f t="shared" si="8"/>
        <v>0</v>
      </c>
      <c r="I170" s="62">
        <f>B170*E170</f>
        <v>0</v>
      </c>
      <c r="J170" s="34"/>
      <c r="K170" s="63"/>
      <c r="L170" s="34"/>
      <c r="M170" s="64"/>
    </row>
    <row r="171" spans="1:13" x14ac:dyDescent="0.25">
      <c r="A171" s="48" t="s">
        <v>0</v>
      </c>
      <c r="B171" s="49" t="s">
        <v>1</v>
      </c>
      <c r="C171" s="273" t="s">
        <v>2</v>
      </c>
      <c r="D171" s="274"/>
      <c r="E171" s="275"/>
      <c r="F171" s="50" t="s">
        <v>3</v>
      </c>
      <c r="G171" s="12"/>
      <c r="H171" s="312"/>
      <c r="I171" s="62"/>
      <c r="J171" s="34"/>
      <c r="K171" s="63"/>
      <c r="L171" s="34"/>
      <c r="M171" s="64"/>
    </row>
    <row r="172" spans="1:13" x14ac:dyDescent="0.25">
      <c r="A172" s="99"/>
      <c r="B172" s="100"/>
      <c r="C172" s="276" t="s">
        <v>39</v>
      </c>
      <c r="D172" s="276"/>
      <c r="E172" s="101" t="s">
        <v>40</v>
      </c>
      <c r="F172" s="79"/>
      <c r="G172" s="12"/>
      <c r="H172" s="312"/>
      <c r="I172" s="62"/>
      <c r="J172" s="34"/>
      <c r="K172" s="63"/>
      <c r="L172" s="34"/>
      <c r="M172" s="64"/>
    </row>
    <row r="173" spans="1:13" x14ac:dyDescent="0.25">
      <c r="A173" s="102" t="s">
        <v>134</v>
      </c>
      <c r="B173" s="6"/>
      <c r="C173" s="103">
        <v>33432.879999999997</v>
      </c>
      <c r="D173" s="60" t="s">
        <v>214</v>
      </c>
      <c r="E173" s="103">
        <v>33432.879999999997</v>
      </c>
      <c r="F173" s="61">
        <f>IF($B$256="Y",B173*E173,B173*C173)</f>
        <v>0</v>
      </c>
      <c r="G173" s="12"/>
      <c r="H173" s="312">
        <f t="shared" si="8"/>
        <v>0</v>
      </c>
      <c r="I173" s="62">
        <f>B173*E173</f>
        <v>0</v>
      </c>
      <c r="J173" s="34"/>
      <c r="K173" s="63"/>
      <c r="L173" s="34"/>
      <c r="M173" s="64"/>
    </row>
    <row r="174" spans="1:13" x14ac:dyDescent="0.25">
      <c r="A174" s="94"/>
      <c r="B174" s="94"/>
      <c r="C174" s="284" t="s">
        <v>70</v>
      </c>
      <c r="D174" s="284"/>
      <c r="E174" s="284"/>
      <c r="F174" s="95">
        <f>SUM(F173)</f>
        <v>0</v>
      </c>
      <c r="G174" s="96" t="s">
        <v>43</v>
      </c>
      <c r="H174" s="312"/>
      <c r="I174" s="62">
        <f>B174*E174</f>
        <v>0</v>
      </c>
      <c r="J174" s="34"/>
      <c r="K174" s="63"/>
      <c r="L174" s="34"/>
      <c r="M174" s="64"/>
    </row>
    <row r="175" spans="1:13" ht="9" customHeight="1" x14ac:dyDescent="0.25">
      <c r="A175" s="94"/>
      <c r="B175" s="94"/>
      <c r="C175" s="94"/>
      <c r="D175" s="94"/>
      <c r="E175" s="94"/>
      <c r="F175" s="97"/>
      <c r="G175" s="96"/>
      <c r="H175" s="312">
        <f t="shared" si="8"/>
        <v>0</v>
      </c>
      <c r="I175" s="62">
        <f>B175*E175</f>
        <v>0</v>
      </c>
      <c r="J175" s="34"/>
      <c r="K175" s="63"/>
      <c r="L175" s="34"/>
      <c r="M175" s="64"/>
    </row>
    <row r="176" spans="1:13" ht="9" customHeight="1" x14ac:dyDescent="0.25">
      <c r="A176" s="32"/>
      <c r="B176" s="94"/>
      <c r="C176" s="94"/>
      <c r="D176" s="94"/>
      <c r="E176" s="94"/>
      <c r="F176" s="97"/>
      <c r="G176" s="12"/>
      <c r="H176" s="312">
        <f t="shared" si="8"/>
        <v>0</v>
      </c>
      <c r="I176" s="62">
        <f>B176*E176</f>
        <v>0</v>
      </c>
      <c r="J176" s="34"/>
      <c r="K176" s="63"/>
      <c r="L176" s="34"/>
      <c r="M176" s="64"/>
    </row>
    <row r="177" spans="1:13" x14ac:dyDescent="0.2">
      <c r="A177" s="277" t="s">
        <v>239</v>
      </c>
      <c r="B177" s="278"/>
      <c r="C177" s="278"/>
      <c r="D177" s="278"/>
      <c r="E177" s="278"/>
      <c r="F177" s="279"/>
      <c r="G177" s="12"/>
      <c r="H177" s="312">
        <f t="shared" si="8"/>
        <v>0</v>
      </c>
      <c r="I177" s="62">
        <f>B177*E177</f>
        <v>0</v>
      </c>
      <c r="J177" s="34"/>
      <c r="K177" s="63"/>
      <c r="L177" s="34"/>
      <c r="M177" s="64"/>
    </row>
    <row r="178" spans="1:13" x14ac:dyDescent="0.25">
      <c r="A178" s="48" t="s">
        <v>0</v>
      </c>
      <c r="B178" s="49" t="s">
        <v>1</v>
      </c>
      <c r="C178" s="273" t="s">
        <v>2</v>
      </c>
      <c r="D178" s="274"/>
      <c r="E178" s="275"/>
      <c r="F178" s="50" t="s">
        <v>3</v>
      </c>
      <c r="G178" s="12"/>
      <c r="H178" s="312"/>
      <c r="I178" s="62"/>
      <c r="J178" s="34"/>
      <c r="K178" s="63"/>
      <c r="L178" s="34"/>
      <c r="M178" s="64"/>
    </row>
    <row r="179" spans="1:13" x14ac:dyDescent="0.25">
      <c r="A179" s="99"/>
      <c r="B179" s="100"/>
      <c r="C179" s="276" t="s">
        <v>39</v>
      </c>
      <c r="D179" s="276"/>
      <c r="E179" s="101" t="s">
        <v>40</v>
      </c>
      <c r="F179" s="79"/>
      <c r="G179" s="12"/>
      <c r="H179" s="312"/>
      <c r="I179" s="62"/>
      <c r="J179" s="34"/>
      <c r="K179" s="63"/>
      <c r="L179" s="64"/>
      <c r="M179" s="64"/>
    </row>
    <row r="180" spans="1:13" x14ac:dyDescent="0.25">
      <c r="A180" s="102" t="s">
        <v>240</v>
      </c>
      <c r="B180" s="6"/>
      <c r="C180" s="103">
        <v>302.61</v>
      </c>
      <c r="D180" s="104" t="s">
        <v>38</v>
      </c>
      <c r="E180" s="103">
        <v>308.64999999999998</v>
      </c>
      <c r="F180" s="61">
        <f>IF($B$256="Y",B180*E180,B180*C180)</f>
        <v>0</v>
      </c>
      <c r="G180" s="12"/>
      <c r="H180" s="312">
        <f t="shared" si="8"/>
        <v>0</v>
      </c>
      <c r="I180" s="62">
        <f>B180*E180</f>
        <v>0</v>
      </c>
      <c r="J180" s="34"/>
      <c r="K180" s="63"/>
      <c r="L180" s="64"/>
      <c r="M180" s="64"/>
    </row>
    <row r="181" spans="1:13" ht="15" customHeight="1" x14ac:dyDescent="0.25">
      <c r="A181" s="94"/>
      <c r="B181" s="296" t="s">
        <v>71</v>
      </c>
      <c r="C181" s="296"/>
      <c r="D181" s="296"/>
      <c r="E181" s="297"/>
      <c r="F181" s="95">
        <f>SUM(F180)</f>
        <v>0</v>
      </c>
      <c r="G181" s="96" t="s">
        <v>41</v>
      </c>
      <c r="H181" s="312"/>
      <c r="I181" s="62"/>
      <c r="J181" s="34"/>
      <c r="K181" s="63"/>
      <c r="L181" s="64"/>
      <c r="M181" s="64"/>
    </row>
    <row r="182" spans="1:13" ht="9" customHeight="1" x14ac:dyDescent="0.25">
      <c r="A182" s="94"/>
      <c r="B182" s="94"/>
      <c r="C182" s="94"/>
      <c r="D182" s="94"/>
      <c r="E182" s="94"/>
      <c r="F182" s="97"/>
      <c r="G182" s="96"/>
      <c r="H182" s="312">
        <f t="shared" si="8"/>
        <v>0</v>
      </c>
      <c r="I182" s="62">
        <f>B182*E182</f>
        <v>0</v>
      </c>
      <c r="J182" s="34"/>
      <c r="K182" s="63"/>
      <c r="L182" s="64"/>
      <c r="M182" s="64"/>
    </row>
    <row r="183" spans="1:13" ht="9" customHeight="1" x14ac:dyDescent="0.25">
      <c r="A183" s="32"/>
      <c r="B183" s="98"/>
      <c r="C183" s="34"/>
      <c r="D183" s="32"/>
      <c r="E183" s="34"/>
      <c r="F183" s="97"/>
      <c r="G183" s="12"/>
      <c r="H183" s="312">
        <f t="shared" si="8"/>
        <v>0</v>
      </c>
      <c r="I183" s="62">
        <f>B183*E183</f>
        <v>0</v>
      </c>
      <c r="J183" s="34"/>
      <c r="K183" s="63"/>
      <c r="L183" s="64"/>
      <c r="M183" s="64"/>
    </row>
    <row r="184" spans="1:13" x14ac:dyDescent="0.2">
      <c r="A184" s="277" t="s">
        <v>286</v>
      </c>
      <c r="B184" s="278"/>
      <c r="C184" s="278"/>
      <c r="D184" s="278"/>
      <c r="E184" s="278"/>
      <c r="F184" s="279"/>
      <c r="G184" s="12"/>
      <c r="H184" s="312">
        <f t="shared" si="8"/>
        <v>0</v>
      </c>
      <c r="I184" s="62">
        <f>B184*E184</f>
        <v>0</v>
      </c>
      <c r="J184" s="34"/>
      <c r="K184" s="63"/>
      <c r="L184" s="64"/>
      <c r="M184" s="64"/>
    </row>
    <row r="185" spans="1:13" x14ac:dyDescent="0.25">
      <c r="A185" s="48" t="s">
        <v>0</v>
      </c>
      <c r="B185" s="49" t="s">
        <v>1</v>
      </c>
      <c r="C185" s="273" t="s">
        <v>2</v>
      </c>
      <c r="D185" s="274"/>
      <c r="E185" s="275"/>
      <c r="F185" s="50" t="s">
        <v>3</v>
      </c>
      <c r="G185" s="12"/>
      <c r="H185" s="312"/>
      <c r="I185" s="62"/>
      <c r="J185" s="34"/>
      <c r="K185" s="63"/>
      <c r="L185" s="64"/>
      <c r="M185" s="64"/>
    </row>
    <row r="186" spans="1:13" x14ac:dyDescent="0.25">
      <c r="A186" s="51"/>
      <c r="B186" s="105"/>
      <c r="C186" s="280" t="s">
        <v>39</v>
      </c>
      <c r="D186" s="281"/>
      <c r="E186" s="53" t="s">
        <v>40</v>
      </c>
      <c r="F186" s="54"/>
      <c r="G186" s="12"/>
      <c r="H186" s="312"/>
      <c r="I186" s="62"/>
      <c r="J186" s="34"/>
      <c r="K186" s="63"/>
      <c r="L186" s="64"/>
      <c r="M186" s="64"/>
    </row>
    <row r="187" spans="1:13" x14ac:dyDescent="0.25">
      <c r="A187" s="55" t="s">
        <v>31</v>
      </c>
      <c r="B187" s="92"/>
      <c r="C187" s="89"/>
      <c r="D187" s="106"/>
      <c r="E187" s="107"/>
      <c r="F187" s="108"/>
      <c r="G187" s="12"/>
      <c r="H187" s="312">
        <f t="shared" si="8"/>
        <v>0</v>
      </c>
      <c r="I187" s="62">
        <f>B187*E187</f>
        <v>0</v>
      </c>
      <c r="J187" s="34"/>
      <c r="K187" s="63"/>
      <c r="L187" s="64"/>
      <c r="M187" s="64"/>
    </row>
    <row r="188" spans="1:13" x14ac:dyDescent="0.25">
      <c r="A188" s="4" t="s">
        <v>135</v>
      </c>
      <c r="B188" s="3"/>
      <c r="C188" s="109">
        <v>422.33</v>
      </c>
      <c r="D188" s="60" t="s">
        <v>214</v>
      </c>
      <c r="E188" s="109">
        <v>422.33</v>
      </c>
      <c r="F188" s="61">
        <f>IF($B$256="Y",B188*E188,B188*C188)</f>
        <v>0</v>
      </c>
      <c r="G188" s="12"/>
      <c r="H188" s="312">
        <f t="shared" si="8"/>
        <v>0</v>
      </c>
      <c r="I188" s="62">
        <f>B188*E188</f>
        <v>0</v>
      </c>
      <c r="J188" s="34"/>
      <c r="K188" s="63"/>
      <c r="L188" s="64"/>
      <c r="M188" s="64"/>
    </row>
    <row r="189" spans="1:13" x14ac:dyDescent="0.25">
      <c r="A189" s="4" t="s">
        <v>136</v>
      </c>
      <c r="B189" s="3"/>
      <c r="C189" s="109">
        <v>598.30999999999995</v>
      </c>
      <c r="D189" s="60" t="s">
        <v>214</v>
      </c>
      <c r="E189" s="109">
        <v>598.30999999999995</v>
      </c>
      <c r="F189" s="61">
        <f>IF($B$256="Y",B189*E189,B189*C189)</f>
        <v>0</v>
      </c>
      <c r="G189" s="12"/>
      <c r="H189" s="312">
        <f t="shared" si="8"/>
        <v>0</v>
      </c>
      <c r="I189" s="62">
        <f>B189*E189</f>
        <v>0</v>
      </c>
      <c r="J189" s="34"/>
      <c r="K189" s="63"/>
      <c r="L189" s="64"/>
      <c r="M189" s="64"/>
    </row>
    <row r="190" spans="1:13" x14ac:dyDescent="0.25">
      <c r="A190" s="4" t="s">
        <v>137</v>
      </c>
      <c r="B190" s="3"/>
      <c r="C190" s="109">
        <v>361.94</v>
      </c>
      <c r="D190" s="60" t="s">
        <v>214</v>
      </c>
      <c r="E190" s="109">
        <v>361.94</v>
      </c>
      <c r="F190" s="61">
        <f>IF($B$256="Y",B190*E190,B190*C190)</f>
        <v>0</v>
      </c>
      <c r="G190" s="12"/>
      <c r="H190" s="312">
        <f t="shared" si="8"/>
        <v>0</v>
      </c>
      <c r="I190" s="62">
        <f>B190*E190</f>
        <v>0</v>
      </c>
      <c r="J190" s="34"/>
      <c r="K190" s="63"/>
      <c r="L190" s="64"/>
      <c r="M190" s="64"/>
    </row>
    <row r="191" spans="1:13" x14ac:dyDescent="0.25">
      <c r="A191" s="4" t="s">
        <v>138</v>
      </c>
      <c r="B191" s="3"/>
      <c r="C191" s="110">
        <v>253.4</v>
      </c>
      <c r="D191" s="60" t="s">
        <v>214</v>
      </c>
      <c r="E191" s="110">
        <v>253.4</v>
      </c>
      <c r="F191" s="61">
        <f>IF($B$256="Y",B191*E191,B191*C191)</f>
        <v>0</v>
      </c>
      <c r="G191" s="12"/>
      <c r="H191" s="312">
        <f t="shared" si="8"/>
        <v>0</v>
      </c>
      <c r="I191" s="62">
        <f>B191*E191</f>
        <v>0</v>
      </c>
      <c r="J191" s="34"/>
      <c r="K191" s="63"/>
      <c r="L191" s="64"/>
      <c r="M191" s="64"/>
    </row>
    <row r="192" spans="1:13" x14ac:dyDescent="0.25">
      <c r="A192" s="4" t="s">
        <v>139</v>
      </c>
      <c r="B192" s="3"/>
      <c r="C192" s="110">
        <v>316.75</v>
      </c>
      <c r="D192" s="60" t="s">
        <v>214</v>
      </c>
      <c r="E192" s="110">
        <v>316.75</v>
      </c>
      <c r="F192" s="61">
        <f>IF($B$256="Y",B192*E192,B192*C192)</f>
        <v>0</v>
      </c>
      <c r="G192" s="12"/>
      <c r="H192" s="312">
        <f t="shared" si="8"/>
        <v>0</v>
      </c>
      <c r="I192" s="62">
        <f>B192*E192</f>
        <v>0</v>
      </c>
      <c r="J192" s="34"/>
      <c r="K192" s="63"/>
      <c r="L192" s="64"/>
      <c r="M192" s="64"/>
    </row>
    <row r="193" spans="1:13" x14ac:dyDescent="0.25">
      <c r="A193" s="51"/>
      <c r="B193" s="92"/>
      <c r="C193" s="111"/>
      <c r="D193" s="32"/>
      <c r="E193" s="63"/>
      <c r="F193" s="112"/>
      <c r="G193" s="12"/>
      <c r="H193" s="312">
        <f t="shared" si="8"/>
        <v>0</v>
      </c>
      <c r="I193" s="62">
        <f>B193*E193</f>
        <v>0</v>
      </c>
      <c r="J193" s="34"/>
      <c r="K193" s="63"/>
      <c r="L193" s="64"/>
      <c r="M193" s="64"/>
    </row>
    <row r="194" spans="1:13" x14ac:dyDescent="0.25">
      <c r="A194" s="55" t="s">
        <v>32</v>
      </c>
      <c r="B194" s="92"/>
      <c r="C194" s="34"/>
      <c r="D194" s="32"/>
      <c r="E194" s="63"/>
      <c r="F194" s="112"/>
      <c r="G194" s="12"/>
      <c r="H194" s="312">
        <f t="shared" si="8"/>
        <v>0</v>
      </c>
      <c r="I194" s="62">
        <f>B194*E194</f>
        <v>0</v>
      </c>
      <c r="J194" s="34"/>
      <c r="K194" s="63"/>
      <c r="L194" s="64"/>
      <c r="M194" s="64"/>
    </row>
    <row r="195" spans="1:13" x14ac:dyDescent="0.25">
      <c r="A195" s="4" t="s">
        <v>140</v>
      </c>
      <c r="B195" s="3"/>
      <c r="C195" s="109">
        <v>2.82</v>
      </c>
      <c r="D195" s="60" t="s">
        <v>38</v>
      </c>
      <c r="E195" s="109">
        <v>2.82</v>
      </c>
      <c r="F195" s="61">
        <f t="shared" ref="F195:F215" si="10">IF($B$256="Y",B195*E195,B195*C195)</f>
        <v>0</v>
      </c>
      <c r="G195" s="12"/>
      <c r="H195" s="312">
        <f t="shared" si="8"/>
        <v>0</v>
      </c>
      <c r="I195" s="62">
        <f>B195*E195</f>
        <v>0</v>
      </c>
      <c r="J195" s="34"/>
      <c r="K195" s="63"/>
      <c r="L195" s="64"/>
      <c r="M195" s="64"/>
    </row>
    <row r="196" spans="1:13" x14ac:dyDescent="0.25">
      <c r="A196" s="4" t="s">
        <v>141</v>
      </c>
      <c r="B196" s="3"/>
      <c r="C196" s="109">
        <v>2.82</v>
      </c>
      <c r="D196" s="60" t="s">
        <v>38</v>
      </c>
      <c r="E196" s="109">
        <v>2.82</v>
      </c>
      <c r="F196" s="61">
        <f t="shared" si="10"/>
        <v>0</v>
      </c>
      <c r="G196" s="12"/>
      <c r="H196" s="312">
        <f t="shared" si="8"/>
        <v>0</v>
      </c>
      <c r="I196" s="62">
        <f>B196*E196</f>
        <v>0</v>
      </c>
      <c r="J196" s="34"/>
      <c r="K196" s="63"/>
      <c r="L196" s="64"/>
      <c r="M196" s="64"/>
    </row>
    <row r="197" spans="1:13" x14ac:dyDescent="0.25">
      <c r="A197" s="4" t="s">
        <v>142</v>
      </c>
      <c r="B197" s="3"/>
      <c r="C197" s="109">
        <v>2.82</v>
      </c>
      <c r="D197" s="60" t="s">
        <v>38</v>
      </c>
      <c r="E197" s="109">
        <v>2.82</v>
      </c>
      <c r="F197" s="61">
        <f t="shared" si="10"/>
        <v>0</v>
      </c>
      <c r="G197" s="12"/>
      <c r="H197" s="312">
        <f t="shared" si="8"/>
        <v>0</v>
      </c>
      <c r="I197" s="62">
        <f>B197*E197</f>
        <v>0</v>
      </c>
      <c r="J197" s="34"/>
      <c r="K197" s="63"/>
      <c r="L197" s="64"/>
      <c r="M197" s="64"/>
    </row>
    <row r="198" spans="1:13" x14ac:dyDescent="0.25">
      <c r="A198" s="4" t="s">
        <v>143</v>
      </c>
      <c r="B198" s="3"/>
      <c r="C198" s="109">
        <v>2.82</v>
      </c>
      <c r="D198" s="60" t="s">
        <v>38</v>
      </c>
      <c r="E198" s="109">
        <v>2.82</v>
      </c>
      <c r="F198" s="61">
        <f t="shared" si="10"/>
        <v>0</v>
      </c>
      <c r="G198" s="12"/>
      <c r="H198" s="312">
        <f t="shared" si="8"/>
        <v>0</v>
      </c>
      <c r="I198" s="62">
        <f>B198*E198</f>
        <v>0</v>
      </c>
      <c r="J198" s="34"/>
      <c r="K198" s="63"/>
      <c r="L198" s="64"/>
      <c r="M198" s="64"/>
    </row>
    <row r="199" spans="1:13" x14ac:dyDescent="0.25">
      <c r="A199" s="113" t="s">
        <v>144</v>
      </c>
      <c r="B199" s="3"/>
      <c r="C199" s="109">
        <v>3.52</v>
      </c>
      <c r="D199" s="60" t="s">
        <v>38</v>
      </c>
      <c r="E199" s="109">
        <v>3.52</v>
      </c>
      <c r="F199" s="61">
        <f t="shared" si="10"/>
        <v>0</v>
      </c>
      <c r="G199" s="12"/>
      <c r="H199" s="312">
        <f t="shared" ref="H199:H253" si="11">B199*C199</f>
        <v>0</v>
      </c>
      <c r="I199" s="62">
        <f>B199*E199</f>
        <v>0</v>
      </c>
      <c r="J199" s="34"/>
      <c r="K199" s="63"/>
      <c r="L199" s="64"/>
      <c r="M199" s="64"/>
    </row>
    <row r="200" spans="1:13" x14ac:dyDescent="0.25">
      <c r="A200" s="113" t="s">
        <v>145</v>
      </c>
      <c r="B200" s="3"/>
      <c r="C200" s="109">
        <v>3.52</v>
      </c>
      <c r="D200" s="60" t="s">
        <v>38</v>
      </c>
      <c r="E200" s="109">
        <v>3.52</v>
      </c>
      <c r="F200" s="61">
        <f t="shared" si="10"/>
        <v>0</v>
      </c>
      <c r="G200" s="12"/>
      <c r="H200" s="312">
        <f t="shared" si="11"/>
        <v>0</v>
      </c>
      <c r="I200" s="62">
        <f>B200*E200</f>
        <v>0</v>
      </c>
      <c r="J200" s="34"/>
      <c r="K200" s="63"/>
      <c r="L200" s="64"/>
      <c r="M200" s="64"/>
    </row>
    <row r="201" spans="1:13" x14ac:dyDescent="0.25">
      <c r="A201" s="113" t="s">
        <v>146</v>
      </c>
      <c r="B201" s="3"/>
      <c r="C201" s="109">
        <v>4.22</v>
      </c>
      <c r="D201" s="60" t="s">
        <v>38</v>
      </c>
      <c r="E201" s="109">
        <v>4.22</v>
      </c>
      <c r="F201" s="61">
        <f t="shared" si="10"/>
        <v>0</v>
      </c>
      <c r="G201" s="12"/>
      <c r="H201" s="312">
        <f t="shared" si="11"/>
        <v>0</v>
      </c>
      <c r="I201" s="62">
        <f>B201*E201</f>
        <v>0</v>
      </c>
      <c r="J201" s="34"/>
      <c r="K201" s="63"/>
      <c r="L201" s="64"/>
      <c r="M201" s="64"/>
    </row>
    <row r="202" spans="1:13" x14ac:dyDescent="0.25">
      <c r="A202" s="113" t="s">
        <v>147</v>
      </c>
      <c r="B202" s="3"/>
      <c r="C202" s="109">
        <v>4.22</v>
      </c>
      <c r="D202" s="60" t="s">
        <v>38</v>
      </c>
      <c r="E202" s="109">
        <v>4.22</v>
      </c>
      <c r="F202" s="61">
        <f t="shared" si="10"/>
        <v>0</v>
      </c>
      <c r="G202" s="12"/>
      <c r="H202" s="312">
        <f t="shared" si="11"/>
        <v>0</v>
      </c>
      <c r="I202" s="62">
        <f>B202*E202</f>
        <v>0</v>
      </c>
      <c r="J202" s="34"/>
      <c r="K202" s="63"/>
      <c r="L202" s="64"/>
      <c r="M202" s="64"/>
    </row>
    <row r="203" spans="1:13" x14ac:dyDescent="0.25">
      <c r="A203" s="4" t="s">
        <v>148</v>
      </c>
      <c r="B203" s="3"/>
      <c r="C203" s="109">
        <v>3.52</v>
      </c>
      <c r="D203" s="60" t="s">
        <v>38</v>
      </c>
      <c r="E203" s="109">
        <v>3.52</v>
      </c>
      <c r="F203" s="61">
        <f t="shared" si="10"/>
        <v>0</v>
      </c>
      <c r="G203" s="12"/>
      <c r="H203" s="312">
        <f t="shared" si="11"/>
        <v>0</v>
      </c>
      <c r="I203" s="62">
        <f>B203*E203</f>
        <v>0</v>
      </c>
      <c r="J203" s="34"/>
      <c r="K203" s="63"/>
      <c r="L203" s="64"/>
      <c r="M203" s="64"/>
    </row>
    <row r="204" spans="1:13" x14ac:dyDescent="0.25">
      <c r="A204" s="4" t="s">
        <v>149</v>
      </c>
      <c r="B204" s="3"/>
      <c r="C204" s="109">
        <v>3.52</v>
      </c>
      <c r="D204" s="60" t="s">
        <v>38</v>
      </c>
      <c r="E204" s="109">
        <v>3.52</v>
      </c>
      <c r="F204" s="61">
        <f t="shared" si="10"/>
        <v>0</v>
      </c>
      <c r="G204" s="12"/>
      <c r="H204" s="312">
        <f t="shared" si="11"/>
        <v>0</v>
      </c>
      <c r="I204" s="62">
        <f>B204*E204</f>
        <v>0</v>
      </c>
      <c r="J204" s="34"/>
      <c r="K204" s="63"/>
      <c r="L204" s="64"/>
      <c r="M204" s="64"/>
    </row>
    <row r="205" spans="1:13" x14ac:dyDescent="0.25">
      <c r="A205" s="4" t="s">
        <v>150</v>
      </c>
      <c r="B205" s="3"/>
      <c r="C205" s="109">
        <v>3.52</v>
      </c>
      <c r="D205" s="60" t="s">
        <v>38</v>
      </c>
      <c r="E205" s="109">
        <v>3.52</v>
      </c>
      <c r="F205" s="61">
        <f t="shared" si="10"/>
        <v>0</v>
      </c>
      <c r="G205" s="12"/>
      <c r="H205" s="312">
        <f t="shared" si="11"/>
        <v>0</v>
      </c>
      <c r="I205" s="62">
        <f>B205*E205</f>
        <v>0</v>
      </c>
      <c r="J205" s="34"/>
      <c r="K205" s="63"/>
      <c r="L205" s="64"/>
      <c r="M205" s="64"/>
    </row>
    <row r="206" spans="1:13" x14ac:dyDescent="0.25">
      <c r="A206" s="4" t="s">
        <v>151</v>
      </c>
      <c r="B206" s="3"/>
      <c r="C206" s="109">
        <v>4.93</v>
      </c>
      <c r="D206" s="60" t="s">
        <v>38</v>
      </c>
      <c r="E206" s="109">
        <v>4.93</v>
      </c>
      <c r="F206" s="61">
        <f t="shared" si="10"/>
        <v>0</v>
      </c>
      <c r="G206" s="12"/>
      <c r="H206" s="312">
        <f t="shared" si="11"/>
        <v>0</v>
      </c>
      <c r="I206" s="62">
        <f>B206*E206</f>
        <v>0</v>
      </c>
      <c r="J206" s="34"/>
      <c r="K206" s="63"/>
      <c r="L206" s="64"/>
      <c r="M206" s="64"/>
    </row>
    <row r="207" spans="1:13" x14ac:dyDescent="0.25">
      <c r="A207" s="4" t="s">
        <v>152</v>
      </c>
      <c r="B207" s="3"/>
      <c r="C207" s="109">
        <v>4.93</v>
      </c>
      <c r="D207" s="60" t="s">
        <v>38</v>
      </c>
      <c r="E207" s="109">
        <v>4.93</v>
      </c>
      <c r="F207" s="61">
        <f t="shared" si="10"/>
        <v>0</v>
      </c>
      <c r="G207" s="12"/>
      <c r="H207" s="312">
        <f t="shared" si="11"/>
        <v>0</v>
      </c>
      <c r="I207" s="62">
        <f>B207*E207</f>
        <v>0</v>
      </c>
      <c r="J207" s="34"/>
      <c r="K207" s="63"/>
      <c r="L207" s="64"/>
      <c r="M207" s="64"/>
    </row>
    <row r="208" spans="1:13" x14ac:dyDescent="0.25">
      <c r="A208" s="4" t="s">
        <v>153</v>
      </c>
      <c r="B208" s="3"/>
      <c r="C208" s="109">
        <v>4.22</v>
      </c>
      <c r="D208" s="60" t="s">
        <v>38</v>
      </c>
      <c r="E208" s="109">
        <v>4.22</v>
      </c>
      <c r="F208" s="61">
        <f t="shared" si="10"/>
        <v>0</v>
      </c>
      <c r="G208" s="12"/>
      <c r="H208" s="312">
        <f t="shared" si="11"/>
        <v>0</v>
      </c>
      <c r="I208" s="62">
        <f>B208*E208</f>
        <v>0</v>
      </c>
      <c r="J208" s="34"/>
      <c r="K208" s="63"/>
      <c r="L208" s="64"/>
      <c r="M208" s="64"/>
    </row>
    <row r="209" spans="1:13" x14ac:dyDescent="0.25">
      <c r="A209" s="4" t="s">
        <v>154</v>
      </c>
      <c r="B209" s="3"/>
      <c r="C209" s="109">
        <v>4.22</v>
      </c>
      <c r="D209" s="60" t="s">
        <v>38</v>
      </c>
      <c r="E209" s="109">
        <v>4.22</v>
      </c>
      <c r="F209" s="61">
        <f t="shared" si="10"/>
        <v>0</v>
      </c>
      <c r="G209" s="12"/>
      <c r="H209" s="312">
        <f t="shared" si="11"/>
        <v>0</v>
      </c>
      <c r="I209" s="62">
        <f>B209*E209</f>
        <v>0</v>
      </c>
      <c r="J209" s="34"/>
      <c r="K209" s="63"/>
      <c r="L209" s="64"/>
      <c r="M209" s="64"/>
    </row>
    <row r="210" spans="1:13" x14ac:dyDescent="0.25">
      <c r="A210" s="4" t="s">
        <v>155</v>
      </c>
      <c r="B210" s="3"/>
      <c r="C210" s="109">
        <v>2.82</v>
      </c>
      <c r="D210" s="60" t="s">
        <v>38</v>
      </c>
      <c r="E210" s="109">
        <v>2.82</v>
      </c>
      <c r="F210" s="61">
        <f t="shared" si="10"/>
        <v>0</v>
      </c>
      <c r="G210" s="12"/>
      <c r="H210" s="312">
        <f t="shared" si="11"/>
        <v>0</v>
      </c>
      <c r="I210" s="62">
        <f>B210*E210</f>
        <v>0</v>
      </c>
      <c r="J210" s="34"/>
      <c r="K210" s="63"/>
      <c r="L210" s="64"/>
      <c r="M210" s="64"/>
    </row>
    <row r="211" spans="1:13" x14ac:dyDescent="0.25">
      <c r="A211" s="4" t="s">
        <v>156</v>
      </c>
      <c r="B211" s="3"/>
      <c r="C211" s="109">
        <v>4.22</v>
      </c>
      <c r="D211" s="60" t="s">
        <v>38</v>
      </c>
      <c r="E211" s="109">
        <v>4.22</v>
      </c>
      <c r="F211" s="61">
        <f t="shared" si="10"/>
        <v>0</v>
      </c>
      <c r="G211" s="12"/>
      <c r="H211" s="312">
        <f t="shared" si="11"/>
        <v>0</v>
      </c>
      <c r="I211" s="62">
        <f>B211*E211</f>
        <v>0</v>
      </c>
      <c r="J211" s="34"/>
      <c r="K211" s="63"/>
      <c r="L211" s="64"/>
      <c r="M211" s="64"/>
    </row>
    <row r="212" spans="1:13" x14ac:dyDescent="0.25">
      <c r="A212" s="4" t="s">
        <v>157</v>
      </c>
      <c r="B212" s="3"/>
      <c r="C212" s="109">
        <v>4.22</v>
      </c>
      <c r="D212" s="60" t="s">
        <v>38</v>
      </c>
      <c r="E212" s="109">
        <v>4.22</v>
      </c>
      <c r="F212" s="61">
        <f t="shared" si="10"/>
        <v>0</v>
      </c>
      <c r="G212" s="12"/>
      <c r="H212" s="312">
        <f t="shared" si="11"/>
        <v>0</v>
      </c>
      <c r="I212" s="62">
        <f>B212*E212</f>
        <v>0</v>
      </c>
      <c r="J212" s="34"/>
      <c r="K212" s="63"/>
      <c r="L212" s="64"/>
      <c r="M212" s="64"/>
    </row>
    <row r="213" spans="1:13" x14ac:dyDescent="0.25">
      <c r="A213" s="4" t="s">
        <v>158</v>
      </c>
      <c r="B213" s="3"/>
      <c r="C213" s="109">
        <v>2.82</v>
      </c>
      <c r="D213" s="60" t="s">
        <v>38</v>
      </c>
      <c r="E213" s="109">
        <v>2.82</v>
      </c>
      <c r="F213" s="61">
        <f t="shared" si="10"/>
        <v>0</v>
      </c>
      <c r="G213" s="12"/>
      <c r="H213" s="312">
        <f t="shared" si="11"/>
        <v>0</v>
      </c>
      <c r="I213" s="62">
        <f>B213*E213</f>
        <v>0</v>
      </c>
      <c r="J213" s="34"/>
      <c r="K213" s="63"/>
      <c r="L213" s="64"/>
      <c r="M213" s="64"/>
    </row>
    <row r="214" spans="1:13" x14ac:dyDescent="0.25">
      <c r="A214" s="4" t="s">
        <v>159</v>
      </c>
      <c r="B214" s="3"/>
      <c r="C214" s="109">
        <v>2.82</v>
      </c>
      <c r="D214" s="60" t="s">
        <v>38</v>
      </c>
      <c r="E214" s="109">
        <v>2.82</v>
      </c>
      <c r="F214" s="61">
        <f t="shared" si="10"/>
        <v>0</v>
      </c>
      <c r="G214" s="12"/>
      <c r="H214" s="312">
        <f t="shared" si="11"/>
        <v>0</v>
      </c>
      <c r="I214" s="62">
        <f>B214*E214</f>
        <v>0</v>
      </c>
      <c r="J214" s="34"/>
      <c r="K214" s="63"/>
      <c r="L214" s="64"/>
      <c r="M214" s="64"/>
    </row>
    <row r="215" spans="1:13" x14ac:dyDescent="0.25">
      <c r="A215" s="4" t="s">
        <v>254</v>
      </c>
      <c r="B215" s="3"/>
      <c r="C215" s="109">
        <v>4.22</v>
      </c>
      <c r="D215" s="60" t="s">
        <v>38</v>
      </c>
      <c r="E215" s="109">
        <v>4.22</v>
      </c>
      <c r="F215" s="61">
        <f t="shared" si="10"/>
        <v>0</v>
      </c>
      <c r="G215" s="12"/>
      <c r="H215" s="312">
        <f t="shared" si="11"/>
        <v>0</v>
      </c>
      <c r="I215" s="62">
        <f>B215*E215</f>
        <v>0</v>
      </c>
      <c r="J215" s="34"/>
      <c r="K215" s="63"/>
      <c r="L215" s="64"/>
      <c r="M215" s="64"/>
    </row>
    <row r="216" spans="1:13" x14ac:dyDescent="0.25">
      <c r="A216" s="114" t="s">
        <v>160</v>
      </c>
      <c r="B216" s="92"/>
      <c r="C216" s="34"/>
      <c r="D216" s="32"/>
      <c r="E216" s="63"/>
      <c r="F216" s="112"/>
      <c r="G216" s="12"/>
      <c r="H216" s="312">
        <f t="shared" si="11"/>
        <v>0</v>
      </c>
      <c r="I216" s="62">
        <f>B216*E216</f>
        <v>0</v>
      </c>
      <c r="J216" s="34"/>
      <c r="K216" s="63"/>
      <c r="L216" s="64"/>
      <c r="M216" s="64"/>
    </row>
    <row r="217" spans="1:13" x14ac:dyDescent="0.25">
      <c r="A217" s="115" t="s">
        <v>225</v>
      </c>
      <c r="B217" s="3"/>
      <c r="C217" s="109">
        <v>4.22</v>
      </c>
      <c r="D217" s="60" t="s">
        <v>214</v>
      </c>
      <c r="E217" s="109">
        <v>4.22</v>
      </c>
      <c r="F217" s="61">
        <f>IF($B$256="Y",B217*E217*22,B217*C217*22)</f>
        <v>0</v>
      </c>
      <c r="G217" s="12"/>
      <c r="H217" s="312">
        <f t="shared" si="11"/>
        <v>0</v>
      </c>
      <c r="I217" s="62">
        <f>B217*E217</f>
        <v>0</v>
      </c>
      <c r="J217" s="34"/>
      <c r="K217" s="63"/>
      <c r="L217" s="64"/>
      <c r="M217" s="64"/>
    </row>
    <row r="218" spans="1:13" x14ac:dyDescent="0.25">
      <c r="A218" s="115" t="s">
        <v>226</v>
      </c>
      <c r="B218" s="3"/>
      <c r="C218" s="109">
        <v>4.22</v>
      </c>
      <c r="D218" s="60" t="s">
        <v>214</v>
      </c>
      <c r="E218" s="109">
        <v>4.22</v>
      </c>
      <c r="F218" s="61">
        <f>IF($B$256="Y",B218*E218*32,B218*C218*32)</f>
        <v>0</v>
      </c>
      <c r="G218" s="12"/>
      <c r="H218" s="312">
        <f t="shared" si="11"/>
        <v>0</v>
      </c>
      <c r="I218" s="62">
        <f>B218*E218</f>
        <v>0</v>
      </c>
      <c r="J218" s="34"/>
      <c r="K218" s="63"/>
      <c r="L218" s="64"/>
      <c r="M218" s="64"/>
    </row>
    <row r="219" spans="1:13" x14ac:dyDescent="0.25">
      <c r="A219" s="115" t="s">
        <v>227</v>
      </c>
      <c r="B219" s="3"/>
      <c r="C219" s="109">
        <v>4.22</v>
      </c>
      <c r="D219" s="60" t="s">
        <v>214</v>
      </c>
      <c r="E219" s="109">
        <v>4.22</v>
      </c>
      <c r="F219" s="61">
        <f>IF($B$256="Y",B219*E219*35,B219*C219*35)</f>
        <v>0</v>
      </c>
      <c r="G219" s="12"/>
      <c r="H219" s="312">
        <f t="shared" si="11"/>
        <v>0</v>
      </c>
      <c r="I219" s="62">
        <f>B219*E219</f>
        <v>0</v>
      </c>
      <c r="J219" s="34"/>
      <c r="K219" s="63"/>
      <c r="L219" s="64"/>
      <c r="M219" s="64"/>
    </row>
    <row r="220" spans="1:13" x14ac:dyDescent="0.25">
      <c r="A220" s="115" t="s">
        <v>228</v>
      </c>
      <c r="B220" s="3"/>
      <c r="C220" s="109">
        <v>4.22</v>
      </c>
      <c r="D220" s="60" t="s">
        <v>214</v>
      </c>
      <c r="E220" s="109">
        <v>4.22</v>
      </c>
      <c r="F220" s="61">
        <f>IF($B$256="Y",B220*E220*31,B220*C220*31)</f>
        <v>0</v>
      </c>
      <c r="G220" s="12"/>
      <c r="H220" s="312">
        <f t="shared" si="11"/>
        <v>0</v>
      </c>
      <c r="I220" s="62">
        <f>B220*E220</f>
        <v>0</v>
      </c>
      <c r="J220" s="34"/>
      <c r="K220" s="63"/>
      <c r="L220" s="64"/>
      <c r="M220" s="64"/>
    </row>
    <row r="221" spans="1:13" x14ac:dyDescent="0.25">
      <c r="A221" s="115" t="s">
        <v>229</v>
      </c>
      <c r="B221" s="3"/>
      <c r="C221" s="109">
        <v>4.22</v>
      </c>
      <c r="D221" s="60" t="s">
        <v>214</v>
      </c>
      <c r="E221" s="109">
        <v>4.22</v>
      </c>
      <c r="F221" s="61">
        <f>IF($B$256="Y",B221*E221*24,B221*C221*24)</f>
        <v>0</v>
      </c>
      <c r="G221" s="12"/>
      <c r="H221" s="312">
        <f t="shared" si="11"/>
        <v>0</v>
      </c>
      <c r="I221" s="62">
        <f>B221*E221</f>
        <v>0</v>
      </c>
      <c r="J221" s="34"/>
      <c r="K221" s="63"/>
    </row>
    <row r="222" spans="1:13" x14ac:dyDescent="0.25">
      <c r="A222" s="115" t="s">
        <v>230</v>
      </c>
      <c r="B222" s="3"/>
      <c r="C222" s="109">
        <v>4.22</v>
      </c>
      <c r="D222" s="60" t="s">
        <v>214</v>
      </c>
      <c r="E222" s="109">
        <v>4.22</v>
      </c>
      <c r="F222" s="61">
        <f>IF($B$256="Y",B222*E222*15,B222*C222*15)</f>
        <v>0</v>
      </c>
      <c r="G222" s="12"/>
      <c r="H222" s="312">
        <f t="shared" si="11"/>
        <v>0</v>
      </c>
      <c r="I222" s="62">
        <f>B222*E222</f>
        <v>0</v>
      </c>
      <c r="J222" s="34"/>
      <c r="K222" s="63"/>
    </row>
    <row r="223" spans="1:13" x14ac:dyDescent="0.25">
      <c r="A223" s="4" t="s">
        <v>161</v>
      </c>
      <c r="B223" s="3"/>
      <c r="C223" s="109">
        <v>4.93</v>
      </c>
      <c r="D223" s="60" t="s">
        <v>38</v>
      </c>
      <c r="E223" s="109">
        <v>4.93</v>
      </c>
      <c r="F223" s="61">
        <f t="shared" ref="F223:F244" si="12">IF($B$256="Y",B223*E223,B223*C223)</f>
        <v>0</v>
      </c>
      <c r="G223" s="12"/>
      <c r="H223" s="312">
        <f t="shared" si="11"/>
        <v>0</v>
      </c>
      <c r="I223" s="62">
        <f>B223*E223</f>
        <v>0</v>
      </c>
      <c r="J223" s="34"/>
      <c r="K223" s="63"/>
    </row>
    <row r="224" spans="1:13" x14ac:dyDescent="0.25">
      <c r="A224" s="4" t="s">
        <v>162</v>
      </c>
      <c r="B224" s="3"/>
      <c r="C224" s="109">
        <v>2.82</v>
      </c>
      <c r="D224" s="60" t="s">
        <v>38</v>
      </c>
      <c r="E224" s="109">
        <v>2.82</v>
      </c>
      <c r="F224" s="61">
        <f t="shared" si="12"/>
        <v>0</v>
      </c>
      <c r="G224" s="12"/>
      <c r="H224" s="312">
        <f t="shared" si="11"/>
        <v>0</v>
      </c>
      <c r="I224" s="62">
        <f>B224*E224</f>
        <v>0</v>
      </c>
      <c r="J224" s="34"/>
      <c r="K224" s="63"/>
    </row>
    <row r="225" spans="1:11" x14ac:dyDescent="0.25">
      <c r="A225" s="4" t="s">
        <v>163</v>
      </c>
      <c r="B225" s="3"/>
      <c r="C225" s="109">
        <v>2.82</v>
      </c>
      <c r="D225" s="60" t="s">
        <v>38</v>
      </c>
      <c r="E225" s="109">
        <v>2.82</v>
      </c>
      <c r="F225" s="61">
        <f t="shared" si="12"/>
        <v>0</v>
      </c>
      <c r="G225" s="12"/>
      <c r="H225" s="312">
        <f t="shared" si="11"/>
        <v>0</v>
      </c>
      <c r="I225" s="62">
        <f>B225*E225</f>
        <v>0</v>
      </c>
      <c r="J225" s="34"/>
      <c r="K225" s="63"/>
    </row>
    <row r="226" spans="1:11" x14ac:dyDescent="0.25">
      <c r="A226" s="4" t="s">
        <v>164</v>
      </c>
      <c r="B226" s="3"/>
      <c r="C226" s="109">
        <v>2.82</v>
      </c>
      <c r="D226" s="60" t="s">
        <v>38</v>
      </c>
      <c r="E226" s="109">
        <v>2.82</v>
      </c>
      <c r="F226" s="61">
        <f t="shared" si="12"/>
        <v>0</v>
      </c>
      <c r="G226" s="12"/>
      <c r="H226" s="312">
        <f t="shared" si="11"/>
        <v>0</v>
      </c>
      <c r="I226" s="62">
        <f>B226*E226</f>
        <v>0</v>
      </c>
      <c r="J226" s="34"/>
      <c r="K226" s="63"/>
    </row>
    <row r="227" spans="1:11" x14ac:dyDescent="0.25">
      <c r="A227" s="4" t="s">
        <v>165</v>
      </c>
      <c r="B227" s="3"/>
      <c r="C227" s="109">
        <v>2.82</v>
      </c>
      <c r="D227" s="60" t="s">
        <v>38</v>
      </c>
      <c r="E227" s="109">
        <v>2.82</v>
      </c>
      <c r="F227" s="61">
        <f t="shared" si="12"/>
        <v>0</v>
      </c>
      <c r="G227" s="12"/>
      <c r="H227" s="312">
        <f t="shared" si="11"/>
        <v>0</v>
      </c>
      <c r="I227" s="62">
        <f>B227*E227</f>
        <v>0</v>
      </c>
      <c r="J227" s="34"/>
      <c r="K227" s="63"/>
    </row>
    <row r="228" spans="1:11" x14ac:dyDescent="0.25">
      <c r="A228" s="113" t="s">
        <v>166</v>
      </c>
      <c r="B228" s="3"/>
      <c r="C228" s="109">
        <v>3.17</v>
      </c>
      <c r="D228" s="60" t="s">
        <v>38</v>
      </c>
      <c r="E228" s="109">
        <v>3.17</v>
      </c>
      <c r="F228" s="61">
        <f t="shared" si="12"/>
        <v>0</v>
      </c>
      <c r="G228" s="12"/>
      <c r="H228" s="312">
        <f t="shared" si="11"/>
        <v>0</v>
      </c>
      <c r="I228" s="62">
        <f>B228*E228</f>
        <v>0</v>
      </c>
      <c r="J228" s="34"/>
      <c r="K228" s="63"/>
    </row>
    <row r="229" spans="1:11" x14ac:dyDescent="0.25">
      <c r="A229" s="113" t="s">
        <v>167</v>
      </c>
      <c r="B229" s="3"/>
      <c r="C229" s="109">
        <v>3.17</v>
      </c>
      <c r="D229" s="60" t="s">
        <v>38</v>
      </c>
      <c r="E229" s="109">
        <v>3.17</v>
      </c>
      <c r="F229" s="61">
        <f t="shared" si="12"/>
        <v>0</v>
      </c>
      <c r="G229" s="12"/>
      <c r="H229" s="312">
        <f t="shared" si="11"/>
        <v>0</v>
      </c>
      <c r="I229" s="62">
        <f>B229*E229</f>
        <v>0</v>
      </c>
      <c r="J229" s="34"/>
      <c r="K229" s="63"/>
    </row>
    <row r="230" spans="1:11" x14ac:dyDescent="0.25">
      <c r="A230" s="113" t="s">
        <v>168</v>
      </c>
      <c r="B230" s="3"/>
      <c r="C230" s="109">
        <v>3.52</v>
      </c>
      <c r="D230" s="60" t="s">
        <v>38</v>
      </c>
      <c r="E230" s="109">
        <v>3.52</v>
      </c>
      <c r="F230" s="61">
        <f t="shared" si="12"/>
        <v>0</v>
      </c>
      <c r="G230" s="12"/>
      <c r="H230" s="312">
        <f t="shared" si="11"/>
        <v>0</v>
      </c>
      <c r="I230" s="62">
        <f>B230*E230</f>
        <v>0</v>
      </c>
      <c r="J230" s="34"/>
      <c r="K230" s="63"/>
    </row>
    <row r="231" spans="1:11" x14ac:dyDescent="0.25">
      <c r="A231" s="113" t="s">
        <v>169</v>
      </c>
      <c r="B231" s="3"/>
      <c r="C231" s="109">
        <v>3.52</v>
      </c>
      <c r="D231" s="60" t="s">
        <v>38</v>
      </c>
      <c r="E231" s="109">
        <v>3.52</v>
      </c>
      <c r="F231" s="61">
        <f t="shared" si="12"/>
        <v>0</v>
      </c>
      <c r="G231" s="12"/>
      <c r="H231" s="312">
        <f t="shared" si="11"/>
        <v>0</v>
      </c>
      <c r="I231" s="62">
        <f>B231*E231</f>
        <v>0</v>
      </c>
      <c r="J231" s="34"/>
      <c r="K231" s="63"/>
    </row>
    <row r="232" spans="1:11" x14ac:dyDescent="0.25">
      <c r="A232" s="4" t="s">
        <v>170</v>
      </c>
      <c r="B232" s="3"/>
      <c r="C232" s="109">
        <v>3.17</v>
      </c>
      <c r="D232" s="60" t="s">
        <v>38</v>
      </c>
      <c r="E232" s="109">
        <v>3.17</v>
      </c>
      <c r="F232" s="61">
        <f t="shared" si="12"/>
        <v>0</v>
      </c>
      <c r="G232" s="12"/>
      <c r="H232" s="312">
        <f t="shared" si="11"/>
        <v>0</v>
      </c>
      <c r="I232" s="62">
        <f>B232*E232</f>
        <v>0</v>
      </c>
      <c r="J232" s="34"/>
      <c r="K232" s="63"/>
    </row>
    <row r="233" spans="1:11" x14ac:dyDescent="0.25">
      <c r="A233" s="4" t="s">
        <v>171</v>
      </c>
      <c r="B233" s="3"/>
      <c r="C233" s="109">
        <v>3.17</v>
      </c>
      <c r="D233" s="60" t="s">
        <v>38</v>
      </c>
      <c r="E233" s="109">
        <v>3.17</v>
      </c>
      <c r="F233" s="61">
        <f t="shared" si="12"/>
        <v>0</v>
      </c>
      <c r="G233" s="12"/>
      <c r="H233" s="312">
        <f t="shared" si="11"/>
        <v>0</v>
      </c>
      <c r="I233" s="62">
        <f>B233*E233</f>
        <v>0</v>
      </c>
      <c r="J233" s="34"/>
      <c r="K233" s="63"/>
    </row>
    <row r="234" spans="1:11" x14ac:dyDescent="0.25">
      <c r="A234" s="4" t="s">
        <v>172</v>
      </c>
      <c r="B234" s="3"/>
      <c r="C234" s="109">
        <v>2.82</v>
      </c>
      <c r="D234" s="60" t="s">
        <v>38</v>
      </c>
      <c r="E234" s="109">
        <v>2.82</v>
      </c>
      <c r="F234" s="61">
        <f t="shared" si="12"/>
        <v>0</v>
      </c>
      <c r="G234" s="12"/>
      <c r="H234" s="312">
        <f t="shared" si="11"/>
        <v>0</v>
      </c>
      <c r="I234" s="62">
        <f>B234*E234</f>
        <v>0</v>
      </c>
      <c r="J234" s="34"/>
      <c r="K234" s="63"/>
    </row>
    <row r="235" spans="1:11" x14ac:dyDescent="0.25">
      <c r="A235" s="4" t="s">
        <v>173</v>
      </c>
      <c r="B235" s="3"/>
      <c r="C235" s="109">
        <v>6.34</v>
      </c>
      <c r="D235" s="60" t="s">
        <v>38</v>
      </c>
      <c r="E235" s="109">
        <v>6.34</v>
      </c>
      <c r="F235" s="61">
        <f t="shared" si="12"/>
        <v>0</v>
      </c>
      <c r="G235" s="12"/>
      <c r="H235" s="312">
        <f t="shared" si="11"/>
        <v>0</v>
      </c>
      <c r="I235" s="62">
        <f>B235*E235</f>
        <v>0</v>
      </c>
      <c r="J235" s="34"/>
      <c r="K235" s="63"/>
    </row>
    <row r="236" spans="1:11" x14ac:dyDescent="0.25">
      <c r="A236" s="4" t="s">
        <v>174</v>
      </c>
      <c r="B236" s="3"/>
      <c r="C236" s="109">
        <v>6.34</v>
      </c>
      <c r="D236" s="60" t="s">
        <v>38</v>
      </c>
      <c r="E236" s="109">
        <v>6.34</v>
      </c>
      <c r="F236" s="61">
        <f t="shared" si="12"/>
        <v>0</v>
      </c>
      <c r="G236" s="12"/>
      <c r="H236" s="312">
        <f t="shared" si="11"/>
        <v>0</v>
      </c>
      <c r="I236" s="62">
        <f>B236*E236</f>
        <v>0</v>
      </c>
      <c r="J236" s="34"/>
      <c r="K236" s="63"/>
    </row>
    <row r="237" spans="1:11" x14ac:dyDescent="0.25">
      <c r="A237" s="4" t="s">
        <v>175</v>
      </c>
      <c r="B237" s="3"/>
      <c r="C237" s="109">
        <v>6.34</v>
      </c>
      <c r="D237" s="60" t="s">
        <v>38</v>
      </c>
      <c r="E237" s="109">
        <v>6.34</v>
      </c>
      <c r="F237" s="61">
        <f t="shared" si="12"/>
        <v>0</v>
      </c>
      <c r="G237" s="12"/>
      <c r="H237" s="312">
        <f t="shared" si="11"/>
        <v>0</v>
      </c>
      <c r="I237" s="62">
        <f>B237*E237</f>
        <v>0</v>
      </c>
      <c r="J237" s="34"/>
      <c r="K237" s="63"/>
    </row>
    <row r="238" spans="1:11" x14ac:dyDescent="0.25">
      <c r="A238" s="4" t="s">
        <v>176</v>
      </c>
      <c r="B238" s="3"/>
      <c r="C238" s="109">
        <v>6.34</v>
      </c>
      <c r="D238" s="60" t="s">
        <v>38</v>
      </c>
      <c r="E238" s="109">
        <v>6.34</v>
      </c>
      <c r="F238" s="61">
        <f t="shared" si="12"/>
        <v>0</v>
      </c>
      <c r="G238" s="12"/>
      <c r="H238" s="312">
        <f t="shared" si="11"/>
        <v>0</v>
      </c>
      <c r="I238" s="62">
        <f>B238*E238</f>
        <v>0</v>
      </c>
      <c r="J238" s="34"/>
      <c r="K238" s="63"/>
    </row>
    <row r="239" spans="1:11" x14ac:dyDescent="0.25">
      <c r="A239" s="4" t="s">
        <v>177</v>
      </c>
      <c r="B239" s="3"/>
      <c r="C239" s="109">
        <v>4.22</v>
      </c>
      <c r="D239" s="60" t="s">
        <v>38</v>
      </c>
      <c r="E239" s="109">
        <v>4.22</v>
      </c>
      <c r="F239" s="61">
        <f t="shared" si="12"/>
        <v>0</v>
      </c>
      <c r="G239" s="12"/>
      <c r="H239" s="312">
        <f t="shared" si="11"/>
        <v>0</v>
      </c>
      <c r="I239" s="62">
        <f>B239*E239</f>
        <v>0</v>
      </c>
      <c r="J239" s="34"/>
      <c r="K239" s="63"/>
    </row>
    <row r="240" spans="1:11" x14ac:dyDescent="0.25">
      <c r="A240" s="4" t="s">
        <v>178</v>
      </c>
      <c r="B240" s="3"/>
      <c r="C240" s="109">
        <v>5.63</v>
      </c>
      <c r="D240" s="60" t="s">
        <v>38</v>
      </c>
      <c r="E240" s="109">
        <v>5.63</v>
      </c>
      <c r="F240" s="61">
        <f t="shared" si="12"/>
        <v>0</v>
      </c>
      <c r="G240" s="12"/>
      <c r="H240" s="312">
        <f t="shared" si="11"/>
        <v>0</v>
      </c>
      <c r="I240" s="62">
        <f>B240*E240</f>
        <v>0</v>
      </c>
      <c r="J240" s="34"/>
      <c r="K240" s="63"/>
    </row>
    <row r="241" spans="1:11" x14ac:dyDescent="0.25">
      <c r="A241" s="4" t="s">
        <v>179</v>
      </c>
      <c r="B241" s="3"/>
      <c r="C241" s="109">
        <v>5.63</v>
      </c>
      <c r="D241" s="60" t="s">
        <v>38</v>
      </c>
      <c r="E241" s="109">
        <v>5.63</v>
      </c>
      <c r="F241" s="61">
        <f t="shared" si="12"/>
        <v>0</v>
      </c>
      <c r="G241" s="12"/>
      <c r="H241" s="312">
        <f t="shared" si="11"/>
        <v>0</v>
      </c>
      <c r="I241" s="62">
        <f>B241*E241</f>
        <v>0</v>
      </c>
      <c r="J241" s="34"/>
      <c r="K241" s="63"/>
    </row>
    <row r="242" spans="1:11" x14ac:dyDescent="0.25">
      <c r="A242" s="4" t="s">
        <v>180</v>
      </c>
      <c r="B242" s="3"/>
      <c r="C242" s="109">
        <v>2.82</v>
      </c>
      <c r="D242" s="60" t="s">
        <v>38</v>
      </c>
      <c r="E242" s="109">
        <v>2.82</v>
      </c>
      <c r="F242" s="61">
        <f t="shared" si="12"/>
        <v>0</v>
      </c>
      <c r="G242" s="12"/>
      <c r="H242" s="312">
        <f t="shared" si="11"/>
        <v>0</v>
      </c>
      <c r="I242" s="62">
        <f>B242*E242</f>
        <v>0</v>
      </c>
      <c r="J242" s="34"/>
      <c r="K242" s="63"/>
    </row>
    <row r="243" spans="1:11" x14ac:dyDescent="0.25">
      <c r="A243" s="4" t="s">
        <v>181</v>
      </c>
      <c r="B243" s="3"/>
      <c r="C243" s="109">
        <v>2.82</v>
      </c>
      <c r="D243" s="60" t="s">
        <v>38</v>
      </c>
      <c r="E243" s="109">
        <v>2.82</v>
      </c>
      <c r="F243" s="61">
        <f t="shared" si="12"/>
        <v>0</v>
      </c>
      <c r="G243" s="12"/>
      <c r="H243" s="312">
        <f t="shared" si="11"/>
        <v>0</v>
      </c>
      <c r="I243" s="62">
        <f>B243*E243</f>
        <v>0</v>
      </c>
      <c r="J243" s="34"/>
      <c r="K243" s="63"/>
    </row>
    <row r="244" spans="1:11" x14ac:dyDescent="0.25">
      <c r="A244" s="4" t="s">
        <v>255</v>
      </c>
      <c r="B244" s="3"/>
      <c r="C244" s="109">
        <v>5.63</v>
      </c>
      <c r="D244" s="60" t="s">
        <v>38</v>
      </c>
      <c r="E244" s="109">
        <v>5.63</v>
      </c>
      <c r="F244" s="61">
        <f t="shared" si="12"/>
        <v>0</v>
      </c>
      <c r="G244" s="12"/>
      <c r="H244" s="312">
        <f t="shared" si="11"/>
        <v>0</v>
      </c>
      <c r="I244" s="62">
        <f>B244*E244</f>
        <v>0</v>
      </c>
      <c r="J244" s="34"/>
      <c r="K244" s="63"/>
    </row>
    <row r="245" spans="1:11" x14ac:dyDescent="0.25">
      <c r="A245" s="114" t="s">
        <v>182</v>
      </c>
      <c r="B245" s="92"/>
      <c r="C245" s="116"/>
      <c r="D245" s="32"/>
      <c r="E245" s="117"/>
      <c r="F245" s="112"/>
      <c r="G245" s="12"/>
      <c r="H245" s="312">
        <f t="shared" si="11"/>
        <v>0</v>
      </c>
      <c r="I245" s="62">
        <f>B245*E245</f>
        <v>0</v>
      </c>
      <c r="J245" s="34"/>
      <c r="K245" s="63"/>
    </row>
    <row r="246" spans="1:11" x14ac:dyDescent="0.25">
      <c r="A246" s="115" t="s">
        <v>225</v>
      </c>
      <c r="B246" s="3"/>
      <c r="C246" s="109">
        <v>5.63</v>
      </c>
      <c r="D246" s="60" t="s">
        <v>214</v>
      </c>
      <c r="E246" s="109">
        <v>5.63</v>
      </c>
      <c r="F246" s="61">
        <f>IF($B$256="Y",B246*E246*22,B246*C246*22)</f>
        <v>0</v>
      </c>
      <c r="G246" s="12"/>
      <c r="H246" s="312">
        <f t="shared" si="11"/>
        <v>0</v>
      </c>
      <c r="I246" s="62">
        <f>B246*E246</f>
        <v>0</v>
      </c>
      <c r="J246" s="34"/>
      <c r="K246" s="63"/>
    </row>
    <row r="247" spans="1:11" x14ac:dyDescent="0.25">
      <c r="A247" s="115" t="s">
        <v>226</v>
      </c>
      <c r="B247" s="3"/>
      <c r="C247" s="109">
        <v>5.63</v>
      </c>
      <c r="D247" s="60" t="s">
        <v>214</v>
      </c>
      <c r="E247" s="109">
        <v>5.63</v>
      </c>
      <c r="F247" s="61">
        <f>IF($B$256="Y",B247*E247*32,B247*C247*32)</f>
        <v>0</v>
      </c>
      <c r="G247" s="12"/>
      <c r="H247" s="312">
        <f t="shared" si="11"/>
        <v>0</v>
      </c>
      <c r="I247" s="62">
        <f>B247*E247</f>
        <v>0</v>
      </c>
      <c r="J247" s="34"/>
      <c r="K247" s="63"/>
    </row>
    <row r="248" spans="1:11" x14ac:dyDescent="0.25">
      <c r="A248" s="115" t="s">
        <v>227</v>
      </c>
      <c r="B248" s="3"/>
      <c r="C248" s="109">
        <v>5.63</v>
      </c>
      <c r="D248" s="60" t="s">
        <v>214</v>
      </c>
      <c r="E248" s="109">
        <v>5.63</v>
      </c>
      <c r="F248" s="61">
        <f>IF($B$256="Y",B248*E248*35,B248*C248*35)</f>
        <v>0</v>
      </c>
      <c r="G248" s="12"/>
      <c r="H248" s="312">
        <f t="shared" si="11"/>
        <v>0</v>
      </c>
      <c r="I248" s="62">
        <f>B248*E248</f>
        <v>0</v>
      </c>
      <c r="J248" s="34"/>
      <c r="K248" s="63"/>
    </row>
    <row r="249" spans="1:11" x14ac:dyDescent="0.25">
      <c r="A249" s="115" t="s">
        <v>228</v>
      </c>
      <c r="B249" s="3"/>
      <c r="C249" s="109">
        <v>5.63</v>
      </c>
      <c r="D249" s="60" t="s">
        <v>214</v>
      </c>
      <c r="E249" s="109">
        <v>5.63</v>
      </c>
      <c r="F249" s="61">
        <f>IF($B$256="Y",B249*E249*31,B249*C249*31)</f>
        <v>0</v>
      </c>
      <c r="G249" s="12"/>
      <c r="H249" s="312">
        <f t="shared" si="11"/>
        <v>0</v>
      </c>
      <c r="I249" s="62">
        <f>B249*E249</f>
        <v>0</v>
      </c>
      <c r="J249" s="34"/>
      <c r="K249" s="63"/>
    </row>
    <row r="250" spans="1:11" x14ac:dyDescent="0.25">
      <c r="A250" s="115" t="s">
        <v>229</v>
      </c>
      <c r="B250" s="3"/>
      <c r="C250" s="109">
        <v>5.63</v>
      </c>
      <c r="D250" s="60" t="s">
        <v>214</v>
      </c>
      <c r="E250" s="109">
        <v>5.63</v>
      </c>
      <c r="F250" s="61">
        <f>IF($B$256="Y",B250*E250*24,B250*C250*24)</f>
        <v>0</v>
      </c>
      <c r="G250" s="12"/>
      <c r="H250" s="312">
        <f t="shared" si="11"/>
        <v>0</v>
      </c>
      <c r="I250" s="62">
        <f>B250*E250</f>
        <v>0</v>
      </c>
      <c r="J250" s="34"/>
      <c r="K250" s="63"/>
    </row>
    <row r="251" spans="1:11" x14ac:dyDescent="0.25">
      <c r="A251" s="115" t="s">
        <v>230</v>
      </c>
      <c r="B251" s="3"/>
      <c r="C251" s="109">
        <v>5.63</v>
      </c>
      <c r="D251" s="60" t="s">
        <v>214</v>
      </c>
      <c r="E251" s="109">
        <v>5.63</v>
      </c>
      <c r="F251" s="61">
        <f>IF($B$256="Y",B251*E251*15,B251*C251*15)</f>
        <v>0</v>
      </c>
      <c r="G251" s="12"/>
      <c r="H251" s="312">
        <f t="shared" si="11"/>
        <v>0</v>
      </c>
      <c r="I251" s="62">
        <f>B251*E251</f>
        <v>0</v>
      </c>
      <c r="J251" s="34"/>
      <c r="K251" s="63"/>
    </row>
    <row r="252" spans="1:11" x14ac:dyDescent="0.25">
      <c r="A252" s="4" t="s">
        <v>183</v>
      </c>
      <c r="B252" s="3"/>
      <c r="C252" s="109">
        <v>4.22</v>
      </c>
      <c r="D252" s="60" t="s">
        <v>38</v>
      </c>
      <c r="E252" s="109">
        <v>4.22</v>
      </c>
      <c r="F252" s="61">
        <f>IF($B$256="Y",B252*E252,B252*C252)</f>
        <v>0</v>
      </c>
      <c r="G252" s="12"/>
      <c r="H252" s="312">
        <f t="shared" si="11"/>
        <v>0</v>
      </c>
      <c r="I252" s="62">
        <f>B252*E252</f>
        <v>0</v>
      </c>
      <c r="J252" s="34"/>
      <c r="K252" s="63"/>
    </row>
    <row r="253" spans="1:11" x14ac:dyDescent="0.25">
      <c r="A253" s="118"/>
      <c r="B253" s="94"/>
      <c r="C253" s="285" t="s">
        <v>219</v>
      </c>
      <c r="D253" s="286"/>
      <c r="E253" s="287"/>
      <c r="F253" s="119">
        <f>SUM(F187:F252)</f>
        <v>0</v>
      </c>
      <c r="G253" s="96" t="s">
        <v>45</v>
      </c>
      <c r="H253" s="312"/>
      <c r="I253" s="62">
        <f>B253*E253</f>
        <v>0</v>
      </c>
      <c r="J253" s="34"/>
      <c r="K253" s="63"/>
    </row>
    <row r="254" spans="1:11" ht="13.5" thickBot="1" x14ac:dyDescent="0.3">
      <c r="A254" s="118"/>
      <c r="B254" s="94"/>
      <c r="C254" s="94"/>
      <c r="D254" s="94"/>
      <c r="E254" s="94"/>
      <c r="F254" s="120"/>
      <c r="G254" s="12"/>
      <c r="H254" s="12"/>
      <c r="I254" s="62"/>
      <c r="J254" s="34"/>
      <c r="K254" s="63"/>
    </row>
    <row r="255" spans="1:11" ht="13.5" thickBot="1" x14ac:dyDescent="0.3">
      <c r="C255" s="288" t="s">
        <v>289</v>
      </c>
      <c r="D255" s="289"/>
      <c r="E255" s="290"/>
      <c r="F255" s="122">
        <f>F167+F174+F181+F253</f>
        <v>0</v>
      </c>
      <c r="G255" s="96" t="s">
        <v>44</v>
      </c>
      <c r="H255" s="123">
        <f>SUM(H70:H254)</f>
        <v>0</v>
      </c>
      <c r="I255" s="123">
        <f>SUM(I70:I254)</f>
        <v>0</v>
      </c>
      <c r="J255" s="124" t="str">
        <f>IF(F255&gt;50000,"Y","N")</f>
        <v>N</v>
      </c>
      <c r="K255" s="125"/>
    </row>
    <row r="256" spans="1:11" hidden="1" x14ac:dyDescent="0.25">
      <c r="A256" s="256" t="s">
        <v>287</v>
      </c>
      <c r="B256" s="2" t="str">
        <f>IF(H255&gt;50000,"Y","N")</f>
        <v>N</v>
      </c>
      <c r="C256" s="34"/>
      <c r="D256" s="34"/>
      <c r="E256" s="126"/>
      <c r="F256" s="97"/>
      <c r="G256" s="96" t="s">
        <v>220</v>
      </c>
      <c r="H256" s="96"/>
      <c r="I256" s="127"/>
      <c r="J256" s="124"/>
      <c r="K256" s="125"/>
    </row>
    <row r="257" spans="1:13" hidden="1" x14ac:dyDescent="0.25">
      <c r="A257" s="257" t="s">
        <v>288</v>
      </c>
      <c r="B257" s="92"/>
      <c r="C257" s="34"/>
      <c r="D257" s="34"/>
      <c r="E257" s="126"/>
      <c r="F257" s="97"/>
      <c r="G257" s="12"/>
      <c r="H257" s="12"/>
      <c r="I257" s="127"/>
      <c r="J257" s="124"/>
      <c r="K257" s="125"/>
    </row>
    <row r="258" spans="1:13" x14ac:dyDescent="0.25">
      <c r="A258" s="126"/>
      <c r="B258" s="92"/>
      <c r="C258" s="34"/>
      <c r="D258" s="34"/>
      <c r="E258" s="126"/>
      <c r="F258" s="97"/>
      <c r="G258" s="12"/>
      <c r="H258" s="12"/>
      <c r="I258" s="127"/>
      <c r="J258" s="124"/>
      <c r="K258" s="125"/>
    </row>
    <row r="259" spans="1:13" x14ac:dyDescent="0.2">
      <c r="A259" s="277" t="s">
        <v>195</v>
      </c>
      <c r="B259" s="278"/>
      <c r="C259" s="278"/>
      <c r="D259" s="278"/>
      <c r="E259" s="278"/>
      <c r="F259" s="279"/>
      <c r="G259" s="12"/>
      <c r="H259" s="12"/>
      <c r="I259" s="127"/>
      <c r="J259" s="124"/>
      <c r="K259" s="125"/>
    </row>
    <row r="260" spans="1:13" x14ac:dyDescent="0.25">
      <c r="A260" s="128" t="s">
        <v>236</v>
      </c>
      <c r="B260" s="2" t="s">
        <v>293</v>
      </c>
      <c r="C260" s="129"/>
      <c r="D260" s="130"/>
      <c r="E260" s="126" t="s">
        <v>63</v>
      </c>
      <c r="F260" s="131">
        <f>IF(B260="Y",0.05*F255,0)</f>
        <v>0</v>
      </c>
      <c r="G260" s="96" t="s">
        <v>46</v>
      </c>
      <c r="H260" s="96"/>
      <c r="I260" s="127"/>
      <c r="J260" s="124"/>
      <c r="K260" s="125"/>
    </row>
    <row r="261" spans="1:13" x14ac:dyDescent="0.25">
      <c r="A261" s="132" t="s">
        <v>235</v>
      </c>
      <c r="C261" s="129"/>
      <c r="D261" s="34"/>
      <c r="E261" s="126" t="s">
        <v>64</v>
      </c>
      <c r="F261" s="61">
        <f>0.15*(F255+F260)</f>
        <v>0</v>
      </c>
      <c r="G261" s="96" t="s">
        <v>47</v>
      </c>
      <c r="H261" s="96"/>
      <c r="I261" s="133"/>
      <c r="J261" s="124"/>
      <c r="K261" s="125"/>
    </row>
    <row r="262" spans="1:13" x14ac:dyDescent="0.25">
      <c r="A262" s="134"/>
      <c r="B262" s="135"/>
      <c r="C262" s="34"/>
      <c r="D262" s="34"/>
      <c r="E262" s="126" t="s">
        <v>65</v>
      </c>
      <c r="F262" s="61">
        <f>0.12*(F255+F260+F261)</f>
        <v>0</v>
      </c>
      <c r="G262" s="96" t="s">
        <v>48</v>
      </c>
      <c r="H262" s="96"/>
      <c r="I262" s="127"/>
      <c r="J262" s="124"/>
      <c r="K262" s="125"/>
    </row>
    <row r="263" spans="1:13" x14ac:dyDescent="0.25">
      <c r="A263" s="51"/>
      <c r="B263" s="33"/>
      <c r="C263" s="34"/>
      <c r="D263" s="34"/>
      <c r="E263" s="126" t="s">
        <v>66</v>
      </c>
      <c r="F263" s="61">
        <f>SUM(F255:F262)</f>
        <v>0</v>
      </c>
      <c r="G263" s="96" t="s">
        <v>50</v>
      </c>
      <c r="H263" s="96"/>
      <c r="I263" s="127"/>
      <c r="J263" s="124"/>
      <c r="K263" s="125"/>
    </row>
    <row r="264" spans="1:13" x14ac:dyDescent="0.25">
      <c r="A264" s="136"/>
      <c r="B264" s="135"/>
      <c r="C264" s="34"/>
      <c r="D264" s="34"/>
      <c r="E264" s="126" t="s">
        <v>242</v>
      </c>
      <c r="F264" s="137" t="e">
        <f>tables!A43</f>
        <v>#N/A</v>
      </c>
      <c r="G264" s="96" t="s">
        <v>49</v>
      </c>
      <c r="H264" s="96"/>
      <c r="I264" s="127"/>
      <c r="J264" s="124"/>
      <c r="K264" s="125"/>
      <c r="M264" s="138"/>
    </row>
    <row r="265" spans="1:13" x14ac:dyDescent="0.25">
      <c r="A265" s="51"/>
      <c r="B265" s="33"/>
      <c r="C265" s="34"/>
      <c r="D265" s="34"/>
      <c r="E265" s="139" t="s">
        <v>188</v>
      </c>
      <c r="F265" s="140" t="e">
        <f>ROUNDUP(F263+F264,-2)</f>
        <v>#N/A</v>
      </c>
      <c r="G265" s="96" t="s">
        <v>51</v>
      </c>
      <c r="H265" s="96"/>
      <c r="I265" s="127"/>
      <c r="J265" s="124"/>
      <c r="K265" s="125"/>
    </row>
    <row r="266" spans="1:13" x14ac:dyDescent="0.25">
      <c r="A266" s="141"/>
      <c r="B266" s="142"/>
      <c r="C266" s="76"/>
      <c r="D266" s="143"/>
      <c r="E266" s="144"/>
      <c r="F266" s="145" t="s">
        <v>62</v>
      </c>
      <c r="G266" s="12"/>
      <c r="H266" s="12"/>
      <c r="I266" s="127"/>
      <c r="J266" s="124"/>
      <c r="K266" s="125"/>
    </row>
    <row r="267" spans="1:13" x14ac:dyDescent="0.25">
      <c r="A267" s="13"/>
      <c r="B267" s="15"/>
      <c r="C267" s="16"/>
      <c r="D267" s="24"/>
      <c r="E267" s="146"/>
      <c r="F267" s="147"/>
      <c r="G267" s="12"/>
      <c r="H267" s="12"/>
      <c r="I267" s="127"/>
      <c r="J267" s="124"/>
      <c r="K267" s="125"/>
    </row>
    <row r="268" spans="1:13" x14ac:dyDescent="0.25">
      <c r="A268" s="13"/>
      <c r="B268" s="15"/>
      <c r="C268" s="16"/>
      <c r="D268" s="24"/>
      <c r="E268" s="146"/>
      <c r="F268" s="147"/>
      <c r="G268" s="12"/>
      <c r="H268" s="12"/>
      <c r="I268" s="127"/>
      <c r="J268" s="124"/>
      <c r="K268" s="125"/>
    </row>
    <row r="269" spans="1:13" x14ac:dyDescent="0.2">
      <c r="A269" s="277" t="s">
        <v>196</v>
      </c>
      <c r="B269" s="278"/>
      <c r="C269" s="278"/>
      <c r="D269" s="278"/>
      <c r="E269" s="278"/>
      <c r="F269" s="279"/>
      <c r="G269" s="12"/>
      <c r="H269" s="12"/>
      <c r="I269" s="127"/>
      <c r="J269" s="124"/>
      <c r="K269" s="125"/>
    </row>
    <row r="270" spans="1:13" x14ac:dyDescent="0.25">
      <c r="A270" s="48" t="s">
        <v>0</v>
      </c>
      <c r="B270" s="49" t="s">
        <v>1</v>
      </c>
      <c r="C270" s="273" t="s">
        <v>2</v>
      </c>
      <c r="D270" s="274"/>
      <c r="E270" s="275"/>
      <c r="F270" s="50" t="s">
        <v>3</v>
      </c>
      <c r="G270" s="12"/>
      <c r="H270" s="12"/>
      <c r="I270" s="127"/>
      <c r="J270" s="124"/>
      <c r="K270" s="125"/>
      <c r="L270" s="34"/>
      <c r="M270" s="64"/>
    </row>
    <row r="271" spans="1:13" x14ac:dyDescent="0.25">
      <c r="A271" s="51"/>
      <c r="B271" s="33"/>
      <c r="C271" s="276" t="s">
        <v>39</v>
      </c>
      <c r="D271" s="276"/>
      <c r="E271" s="101" t="s">
        <v>40</v>
      </c>
      <c r="F271" s="79"/>
      <c r="G271" s="12"/>
      <c r="H271" s="12"/>
      <c r="I271" s="127"/>
      <c r="J271" s="124"/>
      <c r="K271" s="125"/>
    </row>
    <row r="272" spans="1:13" x14ac:dyDescent="0.25">
      <c r="A272" s="148" t="s">
        <v>189</v>
      </c>
      <c r="B272" s="3"/>
      <c r="C272" s="149">
        <v>741.23</v>
      </c>
      <c r="D272" s="150" t="s">
        <v>214</v>
      </c>
      <c r="E272" s="151">
        <v>741.23</v>
      </c>
      <c r="F272" s="152">
        <f>IF($B$256="YES",B272*E272,B272*C272)</f>
        <v>0</v>
      </c>
      <c r="G272" s="12"/>
      <c r="H272" s="12"/>
      <c r="I272" s="127"/>
      <c r="J272" s="124"/>
      <c r="K272" s="125"/>
    </row>
    <row r="273" spans="1:11" x14ac:dyDescent="0.25">
      <c r="A273" s="51"/>
      <c r="B273" s="34"/>
      <c r="C273" s="34"/>
      <c r="D273" s="126"/>
      <c r="E273" s="147" t="s">
        <v>58</v>
      </c>
      <c r="F273" s="153">
        <f>F272</f>
        <v>0</v>
      </c>
      <c r="G273" s="96" t="s">
        <v>57</v>
      </c>
      <c r="H273" s="96"/>
      <c r="I273" s="154"/>
      <c r="J273" s="155"/>
      <c r="K273" s="155"/>
    </row>
    <row r="274" spans="1:11" x14ac:dyDescent="0.25">
      <c r="A274" s="51"/>
      <c r="B274" s="129"/>
      <c r="C274" s="34"/>
      <c r="D274" s="130"/>
      <c r="E274" s="126" t="s">
        <v>59</v>
      </c>
      <c r="F274" s="153">
        <f>(0.15*F273)</f>
        <v>0</v>
      </c>
      <c r="G274" s="96" t="s">
        <v>52</v>
      </c>
      <c r="H274" s="96"/>
      <c r="I274" s="156"/>
      <c r="J274" s="155"/>
      <c r="K274" s="155"/>
    </row>
    <row r="275" spans="1:11" x14ac:dyDescent="0.25">
      <c r="A275" s="51"/>
      <c r="B275" s="34"/>
      <c r="C275" s="34"/>
      <c r="D275" s="130"/>
      <c r="E275" s="126" t="s">
        <v>60</v>
      </c>
      <c r="F275" s="153">
        <f>0.12*(F273+F274)</f>
        <v>0</v>
      </c>
      <c r="G275" s="96" t="s">
        <v>53</v>
      </c>
      <c r="H275" s="96"/>
      <c r="I275" s="156"/>
      <c r="J275" s="155"/>
      <c r="K275" s="155"/>
    </row>
    <row r="276" spans="1:11" x14ac:dyDescent="0.25">
      <c r="A276" s="51"/>
      <c r="B276" s="34"/>
      <c r="C276" s="34"/>
      <c r="D276" s="130"/>
      <c r="E276" s="126" t="s">
        <v>61</v>
      </c>
      <c r="F276" s="153">
        <f>SUM(F273:F275)</f>
        <v>0</v>
      </c>
      <c r="G276" s="96" t="s">
        <v>54</v>
      </c>
      <c r="H276" s="96"/>
      <c r="I276" s="156"/>
      <c r="J276" s="155"/>
      <c r="K276" s="155"/>
    </row>
    <row r="277" spans="1:11" hidden="1" x14ac:dyDescent="0.25">
      <c r="A277" s="51"/>
      <c r="B277" s="34"/>
      <c r="C277" s="34"/>
      <c r="D277" s="130"/>
      <c r="E277" s="126" t="s">
        <v>242</v>
      </c>
      <c r="F277" s="137">
        <f>tables!B43</f>
        <v>0</v>
      </c>
      <c r="G277" s="96" t="s">
        <v>55</v>
      </c>
      <c r="H277" s="96"/>
      <c r="I277" s="156"/>
      <c r="J277" s="155"/>
      <c r="K277" s="155"/>
    </row>
    <row r="278" spans="1:11" x14ac:dyDescent="0.25">
      <c r="A278" s="51"/>
      <c r="B278" s="34"/>
      <c r="C278" s="34"/>
      <c r="D278" s="130"/>
      <c r="E278" s="139" t="s">
        <v>304</v>
      </c>
      <c r="F278" s="157">
        <f>ROUNDUP(F276,-2)</f>
        <v>0</v>
      </c>
      <c r="G278" s="96" t="s">
        <v>56</v>
      </c>
      <c r="H278" s="96"/>
      <c r="I278" s="156"/>
      <c r="J278" s="155"/>
      <c r="K278" s="155"/>
    </row>
    <row r="279" spans="1:11" x14ac:dyDescent="0.25">
      <c r="A279" s="141"/>
      <c r="B279" s="76"/>
      <c r="C279" s="76"/>
      <c r="D279" s="158"/>
      <c r="E279" s="159"/>
      <c r="F279" s="145" t="s">
        <v>62</v>
      </c>
      <c r="G279" s="12"/>
      <c r="H279" s="12"/>
      <c r="I279" s="156"/>
      <c r="J279" s="155"/>
      <c r="K279" s="155"/>
    </row>
    <row r="280" spans="1:11" x14ac:dyDescent="0.25">
      <c r="A280" s="32"/>
      <c r="B280" s="34"/>
      <c r="C280" s="34"/>
      <c r="D280" s="126"/>
      <c r="E280" s="64"/>
      <c r="F280" s="160"/>
      <c r="G280" s="12"/>
      <c r="H280" s="12"/>
      <c r="I280" s="156"/>
      <c r="J280" s="155"/>
      <c r="K280" s="155"/>
    </row>
    <row r="281" spans="1:11" x14ac:dyDescent="0.25">
      <c r="A281" s="32"/>
      <c r="B281" s="33"/>
      <c r="C281" s="34"/>
      <c r="D281" s="34"/>
      <c r="E281" s="161"/>
      <c r="F281" s="32"/>
      <c r="G281" s="12"/>
      <c r="H281" s="12"/>
      <c r="I281" s="156"/>
      <c r="J281" s="155"/>
      <c r="K281" s="155"/>
    </row>
    <row r="282" spans="1:11" x14ac:dyDescent="0.2">
      <c r="A282" s="277" t="s">
        <v>290</v>
      </c>
      <c r="B282" s="278"/>
      <c r="C282" s="278"/>
      <c r="D282" s="278"/>
      <c r="E282" s="278"/>
      <c r="F282" s="279"/>
      <c r="G282" s="12"/>
      <c r="H282" s="12"/>
      <c r="I282" s="156"/>
      <c r="J282" s="155"/>
      <c r="K282" s="155"/>
    </row>
    <row r="283" spans="1:11" ht="13.5" customHeight="1" x14ac:dyDescent="0.25">
      <c r="A283" s="162"/>
      <c r="B283" s="64"/>
      <c r="C283" s="64"/>
      <c r="D283" s="163"/>
      <c r="E283" s="126" t="s">
        <v>305</v>
      </c>
      <c r="F283" s="164">
        <f>((F167+F181)*1.15)</f>
        <v>0</v>
      </c>
      <c r="G283" s="96" t="s">
        <v>67</v>
      </c>
      <c r="H283" s="96"/>
      <c r="I283" s="156"/>
      <c r="J283" s="155"/>
      <c r="K283" s="155"/>
    </row>
    <row r="284" spans="1:11" x14ac:dyDescent="0.25">
      <c r="A284" s="141"/>
      <c r="B284" s="142"/>
      <c r="C284" s="76"/>
      <c r="D284" s="165"/>
      <c r="E284" s="166" t="s">
        <v>243</v>
      </c>
      <c r="F284" s="140" t="e">
        <f>tables!A22</f>
        <v>#N/A</v>
      </c>
      <c r="G284" s="96" t="s">
        <v>68</v>
      </c>
      <c r="H284" s="96"/>
      <c r="I284" s="156"/>
      <c r="J284" s="155"/>
      <c r="K284" s="155"/>
    </row>
    <row r="285" spans="1:11" ht="14.25" x14ac:dyDescent="0.25">
      <c r="A285" s="167" t="s">
        <v>245</v>
      </c>
      <c r="B285" s="64"/>
      <c r="C285" s="64"/>
      <c r="D285" s="64"/>
      <c r="E285" s="32"/>
      <c r="F285" s="32"/>
      <c r="G285" s="12"/>
      <c r="H285" s="12"/>
      <c r="I285" s="156"/>
      <c r="J285" s="155"/>
      <c r="K285" s="155"/>
    </row>
    <row r="286" spans="1:11" x14ac:dyDescent="0.25">
      <c r="A286" s="64"/>
      <c r="B286" s="168"/>
      <c r="C286" s="130"/>
      <c r="D286" s="130"/>
      <c r="E286" s="64"/>
      <c r="F286" s="64"/>
      <c r="I286" s="155"/>
      <c r="J286" s="155"/>
      <c r="K286" s="155"/>
    </row>
    <row r="287" spans="1:11" x14ac:dyDescent="0.25">
      <c r="A287" s="13"/>
      <c r="B287" s="15"/>
      <c r="C287" s="16"/>
      <c r="D287" s="16"/>
      <c r="E287" s="13"/>
      <c r="F287" s="13"/>
    </row>
    <row r="288" spans="1:11" x14ac:dyDescent="0.25">
      <c r="A288" s="269" t="s">
        <v>190</v>
      </c>
      <c r="B288" s="270"/>
      <c r="C288" s="270"/>
      <c r="D288" s="270"/>
      <c r="E288" s="270"/>
      <c r="F288" s="271"/>
    </row>
    <row r="289" spans="1:6" x14ac:dyDescent="0.25">
      <c r="A289" s="170" t="s">
        <v>33</v>
      </c>
      <c r="B289" s="272" t="s">
        <v>34</v>
      </c>
      <c r="C289" s="272"/>
      <c r="D289" s="130"/>
      <c r="E289" s="130"/>
      <c r="F289" s="171"/>
    </row>
    <row r="290" spans="1:6" x14ac:dyDescent="0.25">
      <c r="A290" s="172" t="s">
        <v>273</v>
      </c>
      <c r="B290" s="173">
        <f>tables!C6</f>
        <v>1359</v>
      </c>
      <c r="C290" s="175"/>
      <c r="D290" s="176"/>
      <c r="E290" s="177"/>
      <c r="F290" s="174"/>
    </row>
    <row r="291" spans="1:6" x14ac:dyDescent="0.25">
      <c r="A291" s="172" t="s">
        <v>192</v>
      </c>
      <c r="B291" s="178">
        <f>tables!C7</f>
        <v>1359</v>
      </c>
      <c r="C291" s="175" t="s">
        <v>231</v>
      </c>
      <c r="D291" s="179">
        <f>tables!D7</f>
        <v>18</v>
      </c>
      <c r="E291" s="177" t="s">
        <v>233</v>
      </c>
      <c r="F291" s="180">
        <v>25000</v>
      </c>
    </row>
    <row r="292" spans="1:6" x14ac:dyDescent="0.25">
      <c r="A292" s="181" t="s">
        <v>35</v>
      </c>
      <c r="B292" s="242">
        <f>tables!C8</f>
        <v>2719</v>
      </c>
      <c r="C292" s="182" t="s">
        <v>231</v>
      </c>
      <c r="D292" s="183">
        <f>tables!D8</f>
        <v>18</v>
      </c>
      <c r="E292" s="184" t="s">
        <v>233</v>
      </c>
      <c r="F292" s="185">
        <v>100000</v>
      </c>
    </row>
    <row r="293" spans="1:6" x14ac:dyDescent="0.25">
      <c r="A293" s="186" t="s">
        <v>284</v>
      </c>
    </row>
    <row r="294" spans="1:6" x14ac:dyDescent="0.25">
      <c r="A294" s="186" t="s">
        <v>285</v>
      </c>
      <c r="B294" s="33"/>
      <c r="C294" s="34"/>
      <c r="D294" s="34"/>
      <c r="E294" s="32"/>
      <c r="F294" s="32"/>
    </row>
    <row r="295" spans="1:6" x14ac:dyDescent="0.25">
      <c r="A295" s="282"/>
      <c r="B295" s="283"/>
      <c r="C295" s="283"/>
      <c r="D295" s="283"/>
      <c r="E295" s="283"/>
      <c r="F295" s="32"/>
    </row>
    <row r="296" spans="1:6" x14ac:dyDescent="0.25">
      <c r="A296" s="13"/>
      <c r="B296" s="33"/>
      <c r="C296" s="34"/>
      <c r="D296" s="34"/>
      <c r="E296" s="32"/>
      <c r="F296" s="32"/>
    </row>
    <row r="297" spans="1:6" x14ac:dyDescent="0.25">
      <c r="A297" s="32"/>
      <c r="B297" s="33"/>
      <c r="C297" s="34"/>
      <c r="D297" s="34"/>
      <c r="E297" s="32"/>
      <c r="F297" s="32"/>
    </row>
    <row r="298" spans="1:6" x14ac:dyDescent="0.25">
      <c r="A298" s="269" t="s">
        <v>191</v>
      </c>
      <c r="B298" s="270"/>
      <c r="C298" s="270"/>
      <c r="D298" s="270"/>
      <c r="E298" s="270"/>
      <c r="F298" s="271"/>
    </row>
    <row r="299" spans="1:6" x14ac:dyDescent="0.25">
      <c r="A299" s="170" t="s">
        <v>303</v>
      </c>
      <c r="B299" s="268" t="s">
        <v>222</v>
      </c>
      <c r="C299" s="268"/>
      <c r="D299" s="130"/>
      <c r="E299" s="130"/>
      <c r="F299" s="187"/>
    </row>
    <row r="300" spans="1:6" x14ac:dyDescent="0.25">
      <c r="A300" s="172" t="s">
        <v>273</v>
      </c>
      <c r="B300" s="246">
        <v>7.4999999999999997E-2</v>
      </c>
      <c r="C300" s="130" t="s">
        <v>280</v>
      </c>
      <c r="D300" s="130"/>
      <c r="E300" s="130"/>
      <c r="F300" s="187"/>
    </row>
    <row r="301" spans="1:6" x14ac:dyDescent="0.25">
      <c r="A301" s="172" t="s">
        <v>192</v>
      </c>
      <c r="B301" s="178">
        <f>tables!C28</f>
        <v>2263</v>
      </c>
      <c r="C301" s="241" t="s">
        <v>275</v>
      </c>
      <c r="E301" s="188" t="s">
        <v>232</v>
      </c>
      <c r="F301" s="180">
        <v>25000</v>
      </c>
    </row>
    <row r="302" spans="1:6" x14ac:dyDescent="0.25">
      <c r="A302" s="181" t="s">
        <v>274</v>
      </c>
      <c r="B302" s="242">
        <f>tables!C29</f>
        <v>4530</v>
      </c>
      <c r="C302" s="243" t="s">
        <v>282</v>
      </c>
      <c r="D302" s="189"/>
      <c r="E302" s="190" t="s">
        <v>232</v>
      </c>
      <c r="F302" s="185">
        <v>100000</v>
      </c>
    </row>
    <row r="304" spans="1:6" x14ac:dyDescent="0.25">
      <c r="A304" s="191" t="s">
        <v>221</v>
      </c>
      <c r="B304" s="192"/>
      <c r="C304" s="16"/>
      <c r="D304" s="16"/>
      <c r="E304" s="13"/>
      <c r="F304" s="13"/>
    </row>
    <row r="305" spans="1:6" x14ac:dyDescent="0.25">
      <c r="A305" s="191" t="s">
        <v>258</v>
      </c>
      <c r="B305" s="192"/>
      <c r="C305" s="16"/>
      <c r="D305" s="16"/>
      <c r="E305" s="13"/>
      <c r="F305" s="13"/>
    </row>
    <row r="306" spans="1:6" x14ac:dyDescent="0.25">
      <c r="A306" s="13"/>
      <c r="B306" s="15"/>
      <c r="C306" s="16"/>
      <c r="D306" s="16"/>
      <c r="E306" s="13"/>
      <c r="F306" s="13"/>
    </row>
    <row r="307" spans="1:6" x14ac:dyDescent="0.25">
      <c r="A307" s="25" t="s">
        <v>251</v>
      </c>
      <c r="B307" s="200">
        <f>tables!D67</f>
        <v>284</v>
      </c>
      <c r="C307" s="16"/>
      <c r="D307" s="16"/>
      <c r="E307" s="13"/>
      <c r="F307" s="13"/>
    </row>
    <row r="308" spans="1:6" x14ac:dyDescent="0.25">
      <c r="A308" s="194" t="s">
        <v>252</v>
      </c>
      <c r="B308" s="200">
        <f>tables!D68</f>
        <v>56</v>
      </c>
      <c r="C308" s="16"/>
      <c r="D308" s="16"/>
      <c r="E308" s="13"/>
      <c r="F308" s="13"/>
    </row>
  </sheetData>
  <sheetProtection algorithmName="SHA-512" hashValue="Z+cCMwSgJzOViyLmh0la2A4iii/cIekvcYa2WTGTwQZOiKA5tT1AJRTejO1/vKDj5P38XI18dJFoTx0f2ZFt3Q==" saltValue="Mv9rGL1B2wuxwK0HHD2gsw==" spinCount="100000" sheet="1" selectLockedCells="1"/>
  <mergeCells count="49">
    <mergeCell ref="B64:C64"/>
    <mergeCell ref="B56:C56"/>
    <mergeCell ref="B57:C57"/>
    <mergeCell ref="B58:C58"/>
    <mergeCell ref="B59:C59"/>
    <mergeCell ref="B62:C62"/>
    <mergeCell ref="B50:C50"/>
    <mergeCell ref="B51:C51"/>
    <mergeCell ref="B52:C52"/>
    <mergeCell ref="B55:C55"/>
    <mergeCell ref="B63:C63"/>
    <mergeCell ref="A66:F66"/>
    <mergeCell ref="C67:E67"/>
    <mergeCell ref="B167:E167"/>
    <mergeCell ref="B181:E181"/>
    <mergeCell ref="A1:F1"/>
    <mergeCell ref="A2:F2"/>
    <mergeCell ref="A4:F4"/>
    <mergeCell ref="A3:F3"/>
    <mergeCell ref="C68:D68"/>
    <mergeCell ref="E6:F7"/>
    <mergeCell ref="B42:C42"/>
    <mergeCell ref="B43:C43"/>
    <mergeCell ref="B44:C44"/>
    <mergeCell ref="B45:C45"/>
    <mergeCell ref="B46:C46"/>
    <mergeCell ref="B49:C49"/>
    <mergeCell ref="A282:F282"/>
    <mergeCell ref="A269:F269"/>
    <mergeCell ref="C255:E255"/>
    <mergeCell ref="A184:F184"/>
    <mergeCell ref="A170:F170"/>
    <mergeCell ref="C171:E171"/>
    <mergeCell ref="B299:C299"/>
    <mergeCell ref="A288:F288"/>
    <mergeCell ref="B289:C289"/>
    <mergeCell ref="C270:E270"/>
    <mergeCell ref="C172:D172"/>
    <mergeCell ref="A177:F177"/>
    <mergeCell ref="C178:E178"/>
    <mergeCell ref="C185:E185"/>
    <mergeCell ref="C186:D186"/>
    <mergeCell ref="A295:E295"/>
    <mergeCell ref="A298:F298"/>
    <mergeCell ref="A259:F259"/>
    <mergeCell ref="C179:D179"/>
    <mergeCell ref="C174:E174"/>
    <mergeCell ref="C253:E253"/>
    <mergeCell ref="C271:D271"/>
  </mergeCells>
  <dataValidations count="1">
    <dataValidation type="list" allowBlank="1" showInputMessage="1" showErrorMessage="1" sqref="B260 B256" xr:uid="{00000000-0002-0000-0000-000000000000}">
      <formula1>"Y,N"</formula1>
    </dataValidation>
  </dataValidations>
  <printOptions horizontalCentered="1"/>
  <pageMargins left="0.25" right="0.25" top="0.5" bottom="0.6" header="0.23" footer="0.17"/>
  <pageSetup scale="85" fitToHeight="0" orientation="portrait" r:id="rId1"/>
  <headerFooter>
    <oddFooter>&amp;C&amp;"Arial,Regular"&amp;8Page &amp;P of &amp;N</oddFooter>
  </headerFooter>
  <rowBreaks count="3" manualBreakCount="3">
    <brk id="65" max="6" man="1"/>
    <brk id="152" max="6" man="1"/>
    <brk id="2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R72"/>
  <sheetViews>
    <sheetView topLeftCell="A20" zoomScale="115" zoomScaleNormal="115" workbookViewId="0">
      <selection activeCell="A35" sqref="A35"/>
    </sheetView>
  </sheetViews>
  <sheetFormatPr defaultRowHeight="15" x14ac:dyDescent="0.25"/>
  <cols>
    <col min="1" max="1" width="16.28515625" customWidth="1"/>
    <col min="2" max="6" width="12.7109375" customWidth="1"/>
    <col min="9" max="9" width="19.28515625" customWidth="1"/>
    <col min="10" max="14" width="9.140625" customWidth="1"/>
    <col min="15" max="15" width="11.5703125" customWidth="1"/>
    <col min="16" max="19" width="9.140625" customWidth="1"/>
  </cols>
  <sheetData>
    <row r="3" spans="1:18" ht="15.75" thickBot="1" x14ac:dyDescent="0.3"/>
    <row r="4" spans="1:18" ht="16.5" thickTop="1" thickBot="1" x14ac:dyDescent="0.3">
      <c r="A4" s="309" t="s">
        <v>278</v>
      </c>
      <c r="B4" s="310"/>
      <c r="C4" s="310"/>
      <c r="D4" s="310"/>
      <c r="E4" s="310"/>
      <c r="F4" s="311"/>
      <c r="I4" s="259" t="s">
        <v>291</v>
      </c>
      <c r="M4" s="309" t="s">
        <v>278</v>
      </c>
      <c r="N4" s="310"/>
      <c r="O4" s="310"/>
      <c r="P4" s="310"/>
      <c r="Q4" s="310"/>
      <c r="R4" s="311"/>
    </row>
    <row r="5" spans="1:18" ht="15.75" thickTop="1" x14ac:dyDescent="0.25">
      <c r="A5" s="202" t="s">
        <v>261</v>
      </c>
      <c r="B5" s="203" t="s">
        <v>261</v>
      </c>
      <c r="C5" s="204" t="s">
        <v>262</v>
      </c>
      <c r="D5" s="204" t="s">
        <v>263</v>
      </c>
      <c r="E5" s="203" t="s">
        <v>271</v>
      </c>
      <c r="F5" s="205" t="s">
        <v>264</v>
      </c>
      <c r="I5" s="260">
        <v>4.9299999999999997E-2</v>
      </c>
      <c r="M5" s="202" t="s">
        <v>261</v>
      </c>
      <c r="N5" s="203" t="s">
        <v>261</v>
      </c>
      <c r="O5" s="204" t="s">
        <v>262</v>
      </c>
      <c r="P5" s="204" t="s">
        <v>263</v>
      </c>
      <c r="Q5" s="203" t="s">
        <v>271</v>
      </c>
      <c r="R5" s="205" t="s">
        <v>264</v>
      </c>
    </row>
    <row r="6" spans="1:18" x14ac:dyDescent="0.25">
      <c r="A6" s="206">
        <v>1</v>
      </c>
      <c r="B6" s="207">
        <v>25000</v>
      </c>
      <c r="C6" s="208">
        <v>1359</v>
      </c>
      <c r="D6" s="209"/>
      <c r="E6" s="210"/>
      <c r="F6" s="211"/>
      <c r="M6" s="206">
        <v>1</v>
      </c>
      <c r="N6" s="207">
        <v>25000</v>
      </c>
      <c r="O6" s="208">
        <v>1218</v>
      </c>
      <c r="P6" s="209"/>
      <c r="Q6" s="210"/>
      <c r="R6" s="211"/>
    </row>
    <row r="7" spans="1:18" x14ac:dyDescent="0.25">
      <c r="A7" s="212">
        <v>25000.01</v>
      </c>
      <c r="B7" s="207">
        <v>100000</v>
      </c>
      <c r="C7" s="208">
        <v>1359</v>
      </c>
      <c r="D7" s="261">
        <v>18</v>
      </c>
      <c r="E7" s="214">
        <v>1000</v>
      </c>
      <c r="F7" s="211">
        <v>25000</v>
      </c>
      <c r="M7" s="212">
        <v>25000.01</v>
      </c>
      <c r="N7" s="207">
        <v>100000</v>
      </c>
      <c r="O7" s="208">
        <v>1218</v>
      </c>
      <c r="P7" s="213">
        <v>15.88</v>
      </c>
      <c r="Q7" s="214">
        <v>1000</v>
      </c>
      <c r="R7" s="211">
        <v>25000</v>
      </c>
    </row>
    <row r="8" spans="1:18" x14ac:dyDescent="0.25">
      <c r="A8" s="215">
        <v>100000.01</v>
      </c>
      <c r="B8" s="216"/>
      <c r="C8" s="208">
        <v>2719</v>
      </c>
      <c r="D8" s="261">
        <v>18</v>
      </c>
      <c r="E8" s="218">
        <v>1000</v>
      </c>
      <c r="F8" s="219">
        <v>100000</v>
      </c>
      <c r="M8" s="215">
        <v>100000.01</v>
      </c>
      <c r="N8" s="216"/>
      <c r="O8" s="217">
        <v>2408</v>
      </c>
      <c r="P8" s="213">
        <v>16.18</v>
      </c>
      <c r="Q8" s="218">
        <v>1000</v>
      </c>
      <c r="R8" s="219">
        <v>100000</v>
      </c>
    </row>
    <row r="9" spans="1:18" x14ac:dyDescent="0.25">
      <c r="A9" s="215"/>
      <c r="B9" s="216"/>
      <c r="C9" s="217"/>
      <c r="D9" s="213"/>
      <c r="E9" s="218"/>
      <c r="F9" s="219"/>
      <c r="M9" s="215"/>
      <c r="N9" s="216"/>
      <c r="O9" s="217"/>
      <c r="P9" s="213"/>
      <c r="Q9" s="218"/>
      <c r="R9" s="219"/>
    </row>
    <row r="10" spans="1:18" x14ac:dyDescent="0.25">
      <c r="A10" s="215"/>
      <c r="B10" s="216"/>
      <c r="C10" s="217"/>
      <c r="D10" s="213"/>
      <c r="E10" s="218"/>
      <c r="F10" s="220"/>
      <c r="M10" s="215"/>
      <c r="N10" s="216"/>
      <c r="O10" s="217"/>
      <c r="P10" s="213"/>
      <c r="Q10" s="218"/>
      <c r="R10" s="220"/>
    </row>
    <row r="11" spans="1:18" x14ac:dyDescent="0.25">
      <c r="A11" s="215"/>
      <c r="B11" s="216"/>
      <c r="C11" s="217"/>
      <c r="D11" s="213"/>
      <c r="E11" s="218"/>
      <c r="F11" s="220"/>
      <c r="M11" s="215"/>
      <c r="N11" s="216"/>
      <c r="O11" s="217"/>
      <c r="P11" s="213"/>
      <c r="Q11" s="218"/>
      <c r="R11" s="220"/>
    </row>
    <row r="12" spans="1:18" x14ac:dyDescent="0.25">
      <c r="A12" s="215"/>
      <c r="B12" s="216"/>
      <c r="C12" s="217"/>
      <c r="D12" s="213"/>
      <c r="E12" s="218"/>
      <c r="F12" s="220"/>
      <c r="M12" s="215"/>
      <c r="N12" s="216"/>
      <c r="O12" s="217"/>
      <c r="P12" s="213"/>
      <c r="Q12" s="218"/>
      <c r="R12" s="220"/>
    </row>
    <row r="13" spans="1:18" ht="15.75" thickBot="1" x14ac:dyDescent="0.3">
      <c r="A13" s="221"/>
      <c r="B13" s="222"/>
      <c r="C13" s="223"/>
      <c r="D13" s="224"/>
      <c r="E13" s="225"/>
      <c r="F13" s="226"/>
      <c r="M13" s="221"/>
      <c r="N13" s="222"/>
      <c r="O13" s="223"/>
      <c r="P13" s="224"/>
      <c r="Q13" s="225"/>
      <c r="R13" s="226"/>
    </row>
    <row r="14" spans="1:18" ht="15.75" thickTop="1" x14ac:dyDescent="0.25">
      <c r="A14" s="227"/>
      <c r="B14" s="227"/>
      <c r="C14" s="227"/>
      <c r="D14" s="227"/>
      <c r="E14" s="227"/>
      <c r="F14" s="227"/>
    </row>
    <row r="15" spans="1:18" x14ac:dyDescent="0.25">
      <c r="A15" s="227" t="s">
        <v>265</v>
      </c>
      <c r="B15" s="227"/>
      <c r="C15" s="228"/>
      <c r="D15" s="227"/>
      <c r="E15" s="227"/>
      <c r="F15" s="227"/>
    </row>
    <row r="16" spans="1:18" x14ac:dyDescent="0.25">
      <c r="A16" s="216" t="e">
        <f>VLOOKUP(street!$F$283,$A$6:F13,1)</f>
        <v>#N/A</v>
      </c>
      <c r="B16" s="216" t="e">
        <f>VLOOKUP(street!$F$283,$A$6:F13,2)</f>
        <v>#N/A</v>
      </c>
      <c r="C16" s="263" t="e">
        <f>VLOOKUP(street!$F$283,$A$6:F13,3)</f>
        <v>#N/A</v>
      </c>
      <c r="D16" s="262" t="e">
        <f>VLOOKUP(street!$F$283,$A$6:F13,4)</f>
        <v>#N/A</v>
      </c>
      <c r="E16" s="216" t="e">
        <f>VLOOKUP(street!$F$283,$A$6:F13,5)</f>
        <v>#N/A</v>
      </c>
      <c r="F16" s="216" t="e">
        <f>VLOOKUP(street!$F$283,$A$6:F13,6)</f>
        <v>#N/A</v>
      </c>
    </row>
    <row r="17" spans="1:18" x14ac:dyDescent="0.25">
      <c r="A17" s="216"/>
      <c r="B17" s="216"/>
      <c r="C17" s="229"/>
      <c r="D17" s="230"/>
      <c r="E17" s="218"/>
      <c r="F17" s="231"/>
    </row>
    <row r="18" spans="1:18" x14ac:dyDescent="0.25">
      <c r="A18" s="264" t="e">
        <f>C16</f>
        <v>#N/A</v>
      </c>
      <c r="B18" s="233" t="s">
        <v>266</v>
      </c>
      <c r="C18" s="229"/>
      <c r="D18" s="230"/>
      <c r="E18" s="218"/>
      <c r="F18" s="231"/>
    </row>
    <row r="19" spans="1:18" x14ac:dyDescent="0.25">
      <c r="A19" s="236" t="e">
        <f>street!F283-F16</f>
        <v>#N/A</v>
      </c>
      <c r="B19" s="233" t="s">
        <v>267</v>
      </c>
      <c r="C19" s="229"/>
      <c r="D19" s="230"/>
      <c r="E19" s="218"/>
      <c r="F19" s="231"/>
    </row>
    <row r="20" spans="1:18" x14ac:dyDescent="0.25">
      <c r="A20" s="236" t="e">
        <f>(A19/E16)</f>
        <v>#N/A</v>
      </c>
      <c r="B20" s="233" t="s">
        <v>268</v>
      </c>
      <c r="C20" s="229"/>
      <c r="D20" s="230"/>
      <c r="E20" s="218"/>
      <c r="F20" s="231"/>
    </row>
    <row r="21" spans="1:18" x14ac:dyDescent="0.25">
      <c r="A21" s="232" t="e">
        <f>IF(D16=0,0,A20*D16)</f>
        <v>#N/A</v>
      </c>
      <c r="B21" s="233" t="s">
        <v>269</v>
      </c>
      <c r="C21" s="229"/>
      <c r="D21" s="230"/>
      <c r="E21" s="218"/>
      <c r="F21" s="231"/>
    </row>
    <row r="22" spans="1:18" x14ac:dyDescent="0.25">
      <c r="A22" s="232" t="e">
        <f>A18+A21</f>
        <v>#N/A</v>
      </c>
      <c r="B22" s="235" t="s">
        <v>270</v>
      </c>
      <c r="C22" s="227"/>
      <c r="D22" s="227"/>
      <c r="E22" s="227"/>
      <c r="F22" s="227"/>
    </row>
    <row r="23" spans="1:18" ht="15.75" thickBot="1" x14ac:dyDescent="0.3"/>
    <row r="24" spans="1:18" ht="16.5" thickTop="1" thickBot="1" x14ac:dyDescent="0.3">
      <c r="A24" s="309" t="s">
        <v>277</v>
      </c>
      <c r="B24" s="310"/>
      <c r="C24" s="310"/>
      <c r="D24" s="310"/>
      <c r="E24" s="310"/>
      <c r="F24" s="311"/>
      <c r="M24" s="309" t="s">
        <v>277</v>
      </c>
      <c r="N24" s="310"/>
      <c r="O24" s="310"/>
      <c r="P24" s="310"/>
      <c r="Q24" s="310"/>
      <c r="R24" s="311"/>
    </row>
    <row r="25" spans="1:18" ht="15.75" thickTop="1" x14ac:dyDescent="0.25">
      <c r="A25" s="202" t="s">
        <v>261</v>
      </c>
      <c r="B25" s="203" t="s">
        <v>261</v>
      </c>
      <c r="C25" s="204" t="s">
        <v>262</v>
      </c>
      <c r="D25" s="204" t="s">
        <v>263</v>
      </c>
      <c r="E25" s="203"/>
      <c r="F25" s="205" t="s">
        <v>264</v>
      </c>
      <c r="M25" s="202" t="s">
        <v>261</v>
      </c>
      <c r="N25" s="203" t="s">
        <v>261</v>
      </c>
      <c r="O25" s="204" t="s">
        <v>262</v>
      </c>
      <c r="P25" s="204" t="s">
        <v>263</v>
      </c>
      <c r="Q25" s="203"/>
      <c r="R25" s="205" t="s">
        <v>264</v>
      </c>
    </row>
    <row r="26" spans="1:18" x14ac:dyDescent="0.25">
      <c r="A26">
        <v>0</v>
      </c>
      <c r="B26">
        <v>0.999</v>
      </c>
      <c r="M26">
        <v>0</v>
      </c>
      <c r="N26">
        <v>0.999</v>
      </c>
    </row>
    <row r="27" spans="1:18" x14ac:dyDescent="0.25">
      <c r="A27" s="206">
        <v>1</v>
      </c>
      <c r="B27" s="207">
        <v>25000</v>
      </c>
      <c r="C27" s="237"/>
      <c r="D27" s="237">
        <v>7.4999999999999997E-2</v>
      </c>
      <c r="E27" s="210"/>
      <c r="F27" s="211"/>
      <c r="M27" s="206">
        <v>1</v>
      </c>
      <c r="N27" s="207">
        <v>25000</v>
      </c>
      <c r="O27" s="237"/>
      <c r="P27" s="237">
        <v>7.4999999999999997E-2</v>
      </c>
      <c r="Q27" s="210"/>
      <c r="R27" s="211"/>
    </row>
    <row r="28" spans="1:18" x14ac:dyDescent="0.25">
      <c r="A28" s="212">
        <v>25000.01</v>
      </c>
      <c r="B28" s="207">
        <v>100000</v>
      </c>
      <c r="C28" s="208">
        <v>2263</v>
      </c>
      <c r="D28" s="238">
        <v>2.5000000000000001E-2</v>
      </c>
      <c r="E28" s="214"/>
      <c r="F28" s="211">
        <v>25000</v>
      </c>
      <c r="M28" s="212">
        <v>25000.01</v>
      </c>
      <c r="N28" s="207">
        <v>100000</v>
      </c>
      <c r="O28" s="208">
        <v>2087</v>
      </c>
      <c r="P28" s="238">
        <v>2.5000000000000001E-2</v>
      </c>
      <c r="Q28" s="214"/>
      <c r="R28" s="211">
        <v>25000</v>
      </c>
    </row>
    <row r="29" spans="1:18" x14ac:dyDescent="0.25">
      <c r="A29" s="215">
        <v>100000.01</v>
      </c>
      <c r="B29" s="216"/>
      <c r="C29" s="208">
        <v>4530</v>
      </c>
      <c r="D29" s="238">
        <v>0.02</v>
      </c>
      <c r="E29" s="218"/>
      <c r="F29" s="219">
        <v>100000</v>
      </c>
      <c r="M29" s="215">
        <v>100000.01</v>
      </c>
      <c r="N29" s="216"/>
      <c r="O29" s="217">
        <v>4176</v>
      </c>
      <c r="P29" s="238">
        <v>0.02</v>
      </c>
      <c r="Q29" s="218"/>
      <c r="R29" s="219">
        <v>100000</v>
      </c>
    </row>
    <row r="30" spans="1:18" x14ac:dyDescent="0.25">
      <c r="A30" s="215"/>
      <c r="B30" s="216"/>
      <c r="C30" s="217"/>
      <c r="D30" s="213"/>
      <c r="E30" s="218"/>
      <c r="F30" s="220"/>
      <c r="M30" s="215"/>
      <c r="N30" s="216"/>
      <c r="O30" s="217"/>
      <c r="P30" s="213"/>
      <c r="Q30" s="218"/>
      <c r="R30" s="220"/>
    </row>
    <row r="31" spans="1:18" x14ac:dyDescent="0.25">
      <c r="A31" s="215"/>
      <c r="B31" s="216"/>
      <c r="C31" s="217"/>
      <c r="D31" s="213"/>
      <c r="E31" s="218"/>
      <c r="F31" s="220"/>
      <c r="M31" s="215"/>
      <c r="N31" s="216"/>
      <c r="O31" s="217"/>
      <c r="P31" s="213"/>
      <c r="Q31" s="218"/>
      <c r="R31" s="220"/>
    </row>
    <row r="32" spans="1:18" x14ac:dyDescent="0.25">
      <c r="A32" s="215"/>
      <c r="B32" s="216"/>
      <c r="C32" s="217"/>
      <c r="D32" s="213"/>
      <c r="E32" s="218"/>
      <c r="F32" s="220"/>
      <c r="M32" s="215"/>
      <c r="N32" s="216"/>
      <c r="O32" s="217"/>
      <c r="P32" s="213"/>
      <c r="Q32" s="218"/>
      <c r="R32" s="220"/>
    </row>
    <row r="33" spans="1:18" ht="15.75" thickBot="1" x14ac:dyDescent="0.3">
      <c r="A33" s="221"/>
      <c r="B33" s="222"/>
      <c r="C33" s="223"/>
      <c r="D33" s="224"/>
      <c r="E33" s="225"/>
      <c r="F33" s="226"/>
      <c r="M33" s="221"/>
      <c r="N33" s="222"/>
      <c r="O33" s="223"/>
      <c r="P33" s="224"/>
      <c r="Q33" s="225"/>
      <c r="R33" s="226"/>
    </row>
    <row r="34" spans="1:18" ht="15.75" thickTop="1" x14ac:dyDescent="0.25">
      <c r="A34" s="239">
        <f>street!F263-street!F174+street!F276</f>
        <v>0</v>
      </c>
      <c r="B34" s="227" t="s">
        <v>272</v>
      </c>
      <c r="C34" s="227"/>
      <c r="D34" s="227"/>
      <c r="E34" s="227"/>
      <c r="F34" s="227"/>
    </row>
    <row r="35" spans="1:18" x14ac:dyDescent="0.25">
      <c r="A35" s="239">
        <f>street!F276</f>
        <v>0</v>
      </c>
      <c r="B35" s="227"/>
      <c r="C35" s="227"/>
      <c r="D35" s="227"/>
      <c r="E35" s="227"/>
      <c r="F35" s="227"/>
    </row>
    <row r="36" spans="1:18" x14ac:dyDescent="0.25">
      <c r="A36" s="227" t="s">
        <v>265</v>
      </c>
      <c r="B36" s="227"/>
      <c r="C36" s="228"/>
      <c r="D36" s="227"/>
      <c r="E36" s="227"/>
      <c r="F36" s="227"/>
    </row>
    <row r="37" spans="1:18" x14ac:dyDescent="0.25">
      <c r="A37" s="216" t="e">
        <f>VLOOKUP($A$34,$A$27:F33,1)</f>
        <v>#N/A</v>
      </c>
      <c r="B37" s="216" t="e">
        <f>VLOOKUP($A$34,$A$27:F33,2)</f>
        <v>#N/A</v>
      </c>
      <c r="C37" s="229" t="e">
        <f>VLOOKUP($A$34,$A$27:F33,3)</f>
        <v>#N/A</v>
      </c>
      <c r="D37" s="240" t="e">
        <f>VLOOKUP($A$34,$A$27:F33,4)</f>
        <v>#N/A</v>
      </c>
      <c r="E37" s="218" t="e">
        <f>VLOOKUP($A$34,$A$27:F33,5)</f>
        <v>#N/A</v>
      </c>
      <c r="F37" s="231">
        <f>VLOOKUP($A$34,$A$25:F33,6)</f>
        <v>0</v>
      </c>
    </row>
    <row r="38" spans="1:18" x14ac:dyDescent="0.25">
      <c r="A38" s="216">
        <f>VLOOKUP($A$35,$A$26:F33,1)</f>
        <v>0</v>
      </c>
      <c r="B38" s="216">
        <f>VLOOKUP($A$35,$A$26:F33,2)</f>
        <v>0.999</v>
      </c>
      <c r="C38" s="229">
        <f>VLOOKUP($A$35,$A$26:F33,3)</f>
        <v>0</v>
      </c>
      <c r="D38" s="240">
        <f>VLOOKUP($A$35,$A$26:F33,4)</f>
        <v>0</v>
      </c>
      <c r="E38" s="218">
        <f>VLOOKUP($A$35,$A$26:F33,5)</f>
        <v>0</v>
      </c>
      <c r="F38" s="231">
        <f>VLOOKUP($A$35,$A$26:F33,6)</f>
        <v>0</v>
      </c>
    </row>
    <row r="39" spans="1:18" x14ac:dyDescent="0.25">
      <c r="A39" s="232" t="e">
        <f>C37</f>
        <v>#N/A</v>
      </c>
      <c r="B39" s="232">
        <f>C38</f>
        <v>0</v>
      </c>
      <c r="C39" s="233" t="s">
        <v>266</v>
      </c>
      <c r="D39" s="230"/>
      <c r="E39" s="218"/>
      <c r="F39" s="231"/>
    </row>
    <row r="40" spans="1:18" x14ac:dyDescent="0.25">
      <c r="A40" s="234">
        <f>A34-F37</f>
        <v>0</v>
      </c>
      <c r="B40" s="234">
        <f>A35-F38</f>
        <v>0</v>
      </c>
      <c r="C40" s="233" t="s">
        <v>267</v>
      </c>
      <c r="D40" s="230"/>
      <c r="E40" s="218"/>
      <c r="F40" s="231"/>
    </row>
    <row r="41" spans="1:18" x14ac:dyDescent="0.25">
      <c r="A41" s="234"/>
      <c r="B41" s="234"/>
      <c r="C41" s="233"/>
      <c r="D41" s="230"/>
      <c r="E41" s="218"/>
      <c r="F41" s="231"/>
    </row>
    <row r="42" spans="1:18" x14ac:dyDescent="0.25">
      <c r="A42" s="232" t="e">
        <f>A40*D37</f>
        <v>#N/A</v>
      </c>
      <c r="B42" s="232">
        <f>B40*D38</f>
        <v>0</v>
      </c>
      <c r="C42" s="233" t="s">
        <v>269</v>
      </c>
      <c r="D42" s="230"/>
      <c r="E42" s="218"/>
      <c r="F42" s="231"/>
    </row>
    <row r="43" spans="1:18" x14ac:dyDescent="0.25">
      <c r="A43" s="232" t="e">
        <f>A39+A42</f>
        <v>#N/A</v>
      </c>
      <c r="B43" s="232">
        <f>B39+B42</f>
        <v>0</v>
      </c>
      <c r="C43" s="235" t="s">
        <v>270</v>
      </c>
      <c r="D43" s="227"/>
      <c r="E43" s="227"/>
      <c r="F43" s="227"/>
    </row>
    <row r="49" spans="1:18" ht="15.75" thickBot="1" x14ac:dyDescent="0.3"/>
    <row r="50" spans="1:18" ht="16.5" thickTop="1" thickBot="1" x14ac:dyDescent="0.3">
      <c r="A50" s="309" t="s">
        <v>276</v>
      </c>
      <c r="B50" s="310"/>
      <c r="C50" s="310"/>
      <c r="D50" s="310"/>
      <c r="E50" s="310"/>
      <c r="F50" s="311"/>
      <c r="M50" s="309" t="s">
        <v>276</v>
      </c>
      <c r="N50" s="310"/>
      <c r="O50" s="310"/>
      <c r="P50" s="310"/>
      <c r="Q50" s="310"/>
      <c r="R50" s="311"/>
    </row>
    <row r="51" spans="1:18" ht="15.75" thickTop="1" x14ac:dyDescent="0.25">
      <c r="A51" s="202" t="s">
        <v>261</v>
      </c>
      <c r="B51" s="203" t="s">
        <v>261</v>
      </c>
      <c r="C51" s="204" t="s">
        <v>262</v>
      </c>
      <c r="D51" s="204" t="s">
        <v>263</v>
      </c>
      <c r="E51" s="203"/>
      <c r="F51" s="205" t="s">
        <v>264</v>
      </c>
      <c r="M51" s="202" t="s">
        <v>261</v>
      </c>
      <c r="N51" s="203" t="s">
        <v>261</v>
      </c>
      <c r="O51" s="204" t="s">
        <v>262</v>
      </c>
      <c r="P51" s="204" t="s">
        <v>263</v>
      </c>
      <c r="Q51" s="203"/>
      <c r="R51" s="205" t="s">
        <v>264</v>
      </c>
    </row>
    <row r="52" spans="1:18" x14ac:dyDescent="0.25">
      <c r="A52" s="206">
        <v>0</v>
      </c>
      <c r="B52" s="207">
        <v>0.99</v>
      </c>
      <c r="C52" s="244">
        <v>0</v>
      </c>
      <c r="D52" s="237"/>
      <c r="E52" s="210"/>
      <c r="F52" s="211"/>
      <c r="M52" s="206">
        <v>0</v>
      </c>
      <c r="N52" s="207">
        <v>0.99</v>
      </c>
      <c r="O52" s="244">
        <v>0</v>
      </c>
      <c r="P52" s="237"/>
      <c r="Q52" s="210"/>
      <c r="R52" s="211"/>
    </row>
    <row r="53" spans="1:18" x14ac:dyDescent="0.25">
      <c r="A53" s="206">
        <v>1</v>
      </c>
      <c r="B53" s="207">
        <v>15</v>
      </c>
      <c r="C53" s="208">
        <v>1400</v>
      </c>
      <c r="D53" s="238"/>
      <c r="E53" s="214"/>
      <c r="F53" s="211"/>
      <c r="M53" s="206">
        <v>1</v>
      </c>
      <c r="N53" s="207">
        <v>15</v>
      </c>
      <c r="O53" s="244">
        <v>984</v>
      </c>
      <c r="P53" s="238"/>
      <c r="Q53" s="214"/>
      <c r="R53" s="211"/>
    </row>
    <row r="54" spans="1:18" x14ac:dyDescent="0.25">
      <c r="A54" s="212">
        <v>16</v>
      </c>
      <c r="B54" s="207">
        <v>75</v>
      </c>
      <c r="C54" s="208">
        <v>2450</v>
      </c>
      <c r="D54" s="238"/>
      <c r="E54" s="218"/>
      <c r="F54" s="219"/>
      <c r="M54" s="212">
        <v>16</v>
      </c>
      <c r="N54" s="207">
        <v>75</v>
      </c>
      <c r="O54" s="244">
        <v>1709</v>
      </c>
      <c r="P54" s="238"/>
      <c r="Q54" s="218"/>
      <c r="R54" s="219"/>
    </row>
    <row r="55" spans="1:18" x14ac:dyDescent="0.25">
      <c r="A55" s="215">
        <v>76</v>
      </c>
      <c r="B55" s="216"/>
      <c r="C55" s="208">
        <v>3500</v>
      </c>
      <c r="D55" s="213"/>
      <c r="E55" s="218"/>
      <c r="F55" s="219"/>
      <c r="M55" s="215">
        <v>76</v>
      </c>
      <c r="N55" s="216"/>
      <c r="O55" s="245">
        <v>2405</v>
      </c>
      <c r="P55" s="213"/>
      <c r="Q55" s="218"/>
      <c r="R55" s="219"/>
    </row>
    <row r="56" spans="1:18" x14ac:dyDescent="0.25">
      <c r="A56" s="215"/>
      <c r="B56" s="216"/>
      <c r="C56" s="217"/>
      <c r="D56" s="213"/>
      <c r="E56" s="218"/>
      <c r="F56" s="220"/>
      <c r="M56" s="215"/>
      <c r="N56" s="216"/>
      <c r="O56" s="217"/>
      <c r="P56" s="213"/>
      <c r="Q56" s="218"/>
      <c r="R56" s="220"/>
    </row>
    <row r="57" spans="1:18" x14ac:dyDescent="0.25">
      <c r="A57" s="215"/>
      <c r="B57" s="216"/>
      <c r="C57" s="217"/>
      <c r="D57" s="213"/>
      <c r="E57" s="218"/>
      <c r="F57" s="220"/>
      <c r="M57" s="215"/>
      <c r="N57" s="216"/>
      <c r="O57" s="217"/>
      <c r="P57" s="213"/>
      <c r="Q57" s="218"/>
      <c r="R57" s="220"/>
    </row>
    <row r="58" spans="1:18" x14ac:dyDescent="0.25">
      <c r="A58" s="215"/>
      <c r="B58" s="216"/>
      <c r="C58" s="217"/>
      <c r="D58" s="213"/>
      <c r="E58" s="218"/>
      <c r="F58" s="220"/>
      <c r="M58" s="215"/>
      <c r="N58" s="216"/>
      <c r="O58" s="217"/>
      <c r="P58" s="213"/>
      <c r="Q58" s="218"/>
      <c r="R58" s="220"/>
    </row>
    <row r="59" spans="1:18" ht="15.75" thickBot="1" x14ac:dyDescent="0.3">
      <c r="A59" s="221"/>
      <c r="B59" s="222"/>
      <c r="C59" s="223"/>
      <c r="D59" s="224"/>
      <c r="E59" s="225"/>
      <c r="F59" s="226"/>
      <c r="M59" s="221"/>
      <c r="N59" s="222"/>
      <c r="O59" s="223"/>
      <c r="P59" s="224"/>
      <c r="Q59" s="225"/>
      <c r="R59" s="226"/>
    </row>
    <row r="60" spans="1:18" ht="15.75" thickTop="1" x14ac:dyDescent="0.25">
      <c r="A60" s="239"/>
      <c r="B60" s="227"/>
      <c r="C60" s="227"/>
      <c r="D60" s="227"/>
      <c r="E60" s="227"/>
      <c r="F60" s="227"/>
    </row>
    <row r="61" spans="1:18" x14ac:dyDescent="0.25">
      <c r="A61" s="227" t="s">
        <v>265</v>
      </c>
      <c r="B61" s="227"/>
      <c r="C61" s="228"/>
      <c r="D61" s="227"/>
      <c r="E61" s="227"/>
      <c r="F61" s="227"/>
    </row>
    <row r="62" spans="1:18" x14ac:dyDescent="0.25">
      <c r="A62" s="216">
        <f>VLOOKUP(street!$B$173,$A$52:F59,1)</f>
        <v>0</v>
      </c>
      <c r="B62" s="216">
        <f>VLOOKUP(street!$B$173,$A$52:F59,2)</f>
        <v>0.99</v>
      </c>
      <c r="C62" s="216">
        <f>VLOOKUP(street!$B$173,$A$52:F59,3)</f>
        <v>0</v>
      </c>
      <c r="D62" s="216">
        <f>VLOOKUP(street!$B$173,$A$52:F59,4)</f>
        <v>0</v>
      </c>
      <c r="E62" s="216">
        <f>VLOOKUP(street!$B$173,$A$52:F59,5)</f>
        <v>0</v>
      </c>
      <c r="F62" s="216">
        <f>VLOOKUP(street!$B$173,$A$52:F59,6)</f>
        <v>0</v>
      </c>
    </row>
    <row r="63" spans="1:18" x14ac:dyDescent="0.25">
      <c r="A63" s="216"/>
      <c r="B63" s="216"/>
      <c r="C63" s="229"/>
      <c r="D63" s="230"/>
      <c r="E63" s="218"/>
      <c r="F63" s="231"/>
    </row>
    <row r="64" spans="1:18" x14ac:dyDescent="0.25">
      <c r="A64" s="232">
        <f>C62</f>
        <v>0</v>
      </c>
      <c r="B64" s="233" t="s">
        <v>279</v>
      </c>
      <c r="C64" s="229"/>
      <c r="D64" s="230"/>
      <c r="E64" s="218"/>
      <c r="F64" s="231"/>
    </row>
    <row r="65" spans="1:16" x14ac:dyDescent="0.25">
      <c r="A65" s="266">
        <v>1187.8800000000001</v>
      </c>
      <c r="B65" s="233"/>
      <c r="C65" s="229"/>
      <c r="D65" s="230"/>
      <c r="E65" s="218"/>
      <c r="F65" s="231"/>
    </row>
    <row r="66" spans="1:16" x14ac:dyDescent="0.25">
      <c r="A66" s="234"/>
      <c r="B66" s="233"/>
      <c r="C66" s="229"/>
      <c r="D66" s="230"/>
      <c r="E66" s="218"/>
      <c r="F66" s="231"/>
    </row>
    <row r="67" spans="1:16" x14ac:dyDescent="0.25">
      <c r="A67" s="308" t="s">
        <v>251</v>
      </c>
      <c r="B67" s="308"/>
      <c r="C67" s="308"/>
      <c r="D67" s="208">
        <v>284</v>
      </c>
      <c r="E67" s="218"/>
      <c r="F67" s="231"/>
      <c r="M67" s="308" t="s">
        <v>251</v>
      </c>
      <c r="N67" s="308"/>
      <c r="O67" s="308"/>
      <c r="P67" s="200">
        <v>254</v>
      </c>
    </row>
    <row r="68" spans="1:16" x14ac:dyDescent="0.25">
      <c r="A68" s="307" t="s">
        <v>252</v>
      </c>
      <c r="B68" s="307"/>
      <c r="C68" s="307"/>
      <c r="D68" s="208">
        <v>56</v>
      </c>
      <c r="E68" s="227"/>
      <c r="F68" s="227"/>
      <c r="M68" s="307" t="s">
        <v>252</v>
      </c>
      <c r="N68" s="307"/>
      <c r="O68" s="307"/>
      <c r="P68" s="200">
        <v>49</v>
      </c>
    </row>
    <row r="69" spans="1:16" ht="25.5" customHeight="1" x14ac:dyDescent="0.25"/>
    <row r="72" spans="1:16" x14ac:dyDescent="0.25">
      <c r="A72">
        <v>194.83</v>
      </c>
      <c r="B72" t="s">
        <v>298</v>
      </c>
    </row>
  </sheetData>
  <sheetProtection algorithmName="SHA-512" hashValue="WZrq578uWsHgaQvZaL2q3SHLPxTJiAPca960p2awA+VCdksOHUoTCgbNJch/xuyTQ+CXbGTwR2wbzPr9oRZpVQ==" saltValue="iVstcB4FlooEHypQnDpmsg==" spinCount="100000" sheet="1" objects="1" scenarios="1"/>
  <mergeCells count="10">
    <mergeCell ref="A68:C68"/>
    <mergeCell ref="M67:O67"/>
    <mergeCell ref="M68:O68"/>
    <mergeCell ref="A67:C67"/>
    <mergeCell ref="A4:F4"/>
    <mergeCell ref="A24:F24"/>
    <mergeCell ref="A50:F50"/>
    <mergeCell ref="M4:R4"/>
    <mergeCell ref="M24:R24"/>
    <mergeCell ref="M50:R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street</vt:lpstr>
      <vt:lpstr>tables</vt:lpstr>
      <vt:lpstr>street!Print_Area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2025-08-21T22:51:13Z</cp:lastPrinted>
  <dcterms:created xsi:type="dcterms:W3CDTF">2014-06-16T22:03:14Z</dcterms:created>
  <dcterms:modified xsi:type="dcterms:W3CDTF">2025-08-21T23:35:56Z</dcterms:modified>
</cp:coreProperties>
</file>