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ITYHALL2\Dept\PW\ENGINEERING\DS_Fees\Fee_Calc_Sheets\2026-27\"/>
    </mc:Choice>
  </mc:AlternateContent>
  <xr:revisionPtr revIDLastSave="0" documentId="8_{13B92633-83CA-48B3-9F42-4F090D79EF3A}" xr6:coauthVersionLast="36" xr6:coauthVersionMax="36" xr10:uidLastSave="{00000000-0000-0000-0000-000000000000}"/>
  <workbookProtection workbookAlgorithmName="SHA-512" workbookHashValue="mqIAzMNLEZivy7qNecMKrzEr59mJTYiV6n/YFqvOjUBarMSJgFzAs+xMN8VY7SetEMUngFXTrmDndbHhfIX79A==" workbookSaltValue="5FcKSj7NFgohkKk0vlXsvg==" workbookSpinCount="100000" lockStructure="1"/>
  <bookViews>
    <workbookView xWindow="0" yWindow="0" windowWidth="25380" windowHeight="13380" xr2:uid="{00000000-000D-0000-FFFF-FFFF00000000}"/>
  </bookViews>
  <sheets>
    <sheet name="street" sheetId="1" r:id="rId1"/>
    <sheet name="tables" sheetId="2" state="hidden" r:id="rId2"/>
  </sheets>
  <definedNames>
    <definedName name="_xlnm.Print_Area" localSheetId="0">street!$A$1:$G$309</definedName>
  </definedNames>
  <calcPr calcId="191029"/>
</workbook>
</file>

<file path=xl/calcChain.xml><?xml version="1.0" encoding="utf-8"?>
<calcChain xmlns="http://schemas.openxmlformats.org/spreadsheetml/2006/main">
  <c r="B59" i="1" l="1"/>
  <c r="F125" i="1" l="1"/>
  <c r="F129" i="1"/>
  <c r="F130" i="1"/>
  <c r="F131" i="1"/>
  <c r="F132" i="1"/>
  <c r="F133" i="1"/>
  <c r="F134" i="1"/>
  <c r="F136" i="1"/>
  <c r="F137" i="1"/>
  <c r="F138" i="1"/>
  <c r="F139" i="1"/>
  <c r="F140" i="1"/>
  <c r="F141" i="1"/>
  <c r="F142" i="1"/>
  <c r="F143" i="1"/>
  <c r="F144" i="1"/>
  <c r="F146" i="1"/>
  <c r="F147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9" i="1"/>
  <c r="H170" i="1"/>
  <c r="H171" i="1"/>
  <c r="H174" i="1"/>
  <c r="H176" i="1"/>
  <c r="H177" i="1"/>
  <c r="H178" i="1"/>
  <c r="H181" i="1"/>
  <c r="H183" i="1"/>
  <c r="H184" i="1"/>
  <c r="H185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71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9" i="1"/>
  <c r="I170" i="1"/>
  <c r="I171" i="1"/>
  <c r="I174" i="1"/>
  <c r="I175" i="1"/>
  <c r="I176" i="1"/>
  <c r="I177" i="1"/>
  <c r="I178" i="1"/>
  <c r="I181" i="1"/>
  <c r="I183" i="1"/>
  <c r="I184" i="1"/>
  <c r="I185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6" i="1" l="1"/>
  <c r="H256" i="1"/>
  <c r="B257" i="1" s="1"/>
  <c r="F71" i="1" s="1"/>
  <c r="B309" i="1"/>
  <c r="B308" i="1"/>
  <c r="B303" i="1"/>
  <c r="B302" i="1"/>
  <c r="D293" i="1"/>
  <c r="D292" i="1"/>
  <c r="B293" i="1"/>
  <c r="B292" i="1"/>
  <c r="B291" i="1"/>
  <c r="F91" i="1" l="1"/>
  <c r="F157" i="1"/>
  <c r="F214" i="1"/>
  <c r="F252" i="1"/>
  <c r="F109" i="1"/>
  <c r="F190" i="1"/>
  <c r="F229" i="1"/>
  <c r="F88" i="1"/>
  <c r="F152" i="1"/>
  <c r="F211" i="1"/>
  <c r="F249" i="1"/>
  <c r="F197" i="1"/>
  <c r="F162" i="1"/>
  <c r="F219" i="1"/>
  <c r="F97" i="1"/>
  <c r="F203" i="1"/>
  <c r="F80" i="1"/>
  <c r="F117" i="1"/>
  <c r="F114" i="1"/>
  <c r="F251" i="1"/>
  <c r="F156" i="1"/>
  <c r="F163" i="1"/>
  <c r="F73" i="1"/>
  <c r="F115" i="1"/>
  <c r="F198" i="1"/>
  <c r="F235" i="1"/>
  <c r="F96" i="1"/>
  <c r="F160" i="1"/>
  <c r="F218" i="1"/>
  <c r="F225" i="1"/>
  <c r="F164" i="1"/>
  <c r="F124" i="1"/>
  <c r="F206" i="1"/>
  <c r="F83" i="1"/>
  <c r="F189" i="1"/>
  <c r="F250" i="1"/>
  <c r="F105" i="1"/>
  <c r="F100" i="1"/>
  <c r="F238" i="1"/>
  <c r="F118" i="1"/>
  <c r="F107" i="1"/>
  <c r="F181" i="1"/>
  <c r="F227" i="1"/>
  <c r="F81" i="1"/>
  <c r="F121" i="1"/>
  <c r="F204" i="1"/>
  <c r="F241" i="1"/>
  <c r="F104" i="1"/>
  <c r="F166" i="1"/>
  <c r="F224" i="1"/>
  <c r="F167" i="1"/>
  <c r="F72" i="1"/>
  <c r="F98" i="1"/>
  <c r="F192" i="1"/>
  <c r="F253" i="1"/>
  <c r="F158" i="1"/>
  <c r="F237" i="1"/>
  <c r="F75" i="1"/>
  <c r="F86" i="1"/>
  <c r="F226" i="1"/>
  <c r="F106" i="1"/>
  <c r="F99" i="1"/>
  <c r="F221" i="1"/>
  <c r="F113" i="1"/>
  <c r="F196" i="1"/>
  <c r="F233" i="1"/>
  <c r="F87" i="1"/>
  <c r="F151" i="1"/>
  <c r="F210" i="1"/>
  <c r="F248" i="1"/>
  <c r="F110" i="1"/>
  <c r="F191" i="1"/>
  <c r="F230" i="1"/>
  <c r="F89" i="1"/>
  <c r="F244" i="1"/>
  <c r="F84" i="1"/>
  <c r="F161" i="1"/>
  <c r="F240" i="1"/>
  <c r="F120" i="1"/>
  <c r="F212" i="1"/>
  <c r="F247" i="1"/>
  <c r="F220" i="1"/>
  <c r="F213" i="1"/>
  <c r="F90" i="1"/>
  <c r="F119" i="1"/>
  <c r="F202" i="1"/>
  <c r="F239" i="1"/>
  <c r="F95" i="1"/>
  <c r="F159" i="1"/>
  <c r="F216" i="1"/>
  <c r="F74" i="1"/>
  <c r="F116" i="1"/>
  <c r="F199" i="1"/>
  <c r="F236" i="1"/>
  <c r="F234" i="1"/>
  <c r="F232" i="1"/>
  <c r="F243" i="1"/>
  <c r="F123" i="1"/>
  <c r="F228" i="1"/>
  <c r="F108" i="1"/>
  <c r="F200" i="1"/>
  <c r="F209" i="1"/>
  <c r="F193" i="1"/>
  <c r="F201" i="1"/>
  <c r="F76" i="1"/>
  <c r="F85" i="1"/>
  <c r="F149" i="1"/>
  <c r="F208" i="1"/>
  <c r="F245" i="1"/>
  <c r="F101" i="1"/>
  <c r="F165" i="1"/>
  <c r="F223" i="1"/>
  <c r="F82" i="1"/>
  <c r="F122" i="1"/>
  <c r="F205" i="1"/>
  <c r="F242" i="1"/>
  <c r="F222" i="1"/>
  <c r="F207" i="1"/>
  <c r="F231" i="1"/>
  <c r="F111" i="1"/>
  <c r="F215" i="1"/>
  <c r="F94" i="1"/>
  <c r="F155" i="1"/>
  <c r="F150" i="1"/>
  <c r="F112" i="1"/>
  <c r="F174" i="1"/>
  <c r="F175" i="1" s="1"/>
  <c r="F77" i="1"/>
  <c r="F62" i="2"/>
  <c r="E62" i="2"/>
  <c r="D62" i="2"/>
  <c r="C62" i="2"/>
  <c r="B62" i="2"/>
  <c r="A62" i="2"/>
  <c r="F254" i="1" l="1"/>
  <c r="A64" i="2"/>
  <c r="B56" i="1" s="1"/>
  <c r="F261" i="1" l="1"/>
  <c r="F182" i="1" l="1"/>
  <c r="B44" i="1" s="1"/>
  <c r="B43" i="1"/>
  <c r="B45" i="1"/>
  <c r="F273" i="1"/>
  <c r="F274" i="1" s="1"/>
  <c r="F168" i="1" l="1"/>
  <c r="B42" i="1" s="1"/>
  <c r="F275" i="1"/>
  <c r="F276" i="1" s="1"/>
  <c r="F277" i="1" s="1"/>
  <c r="F279" i="1" s="1"/>
  <c r="F256" i="1" l="1"/>
  <c r="F284" i="1"/>
  <c r="E16" i="2" s="1"/>
  <c r="A35" i="2"/>
  <c r="J256" i="1" l="1"/>
  <c r="A34" i="2"/>
  <c r="B46" i="1"/>
  <c r="B57" i="1" s="1"/>
  <c r="F262" i="1"/>
  <c r="F263" i="1" s="1"/>
  <c r="A16" i="2"/>
  <c r="B16" i="2"/>
  <c r="C16" i="2"/>
  <c r="A18" i="2" s="1"/>
  <c r="F16" i="2"/>
  <c r="A19" i="2" s="1"/>
  <c r="A20" i="2" s="1"/>
  <c r="D16" i="2"/>
  <c r="B38" i="2"/>
  <c r="D38" i="2"/>
  <c r="E38" i="2"/>
  <c r="F38" i="2"/>
  <c r="B40" i="2" s="1"/>
  <c r="A38" i="2"/>
  <c r="C38" i="2"/>
  <c r="B39" i="2" s="1"/>
  <c r="F264" i="1" l="1"/>
  <c r="A21" i="2"/>
  <c r="A22" i="2" s="1"/>
  <c r="F285" i="1" s="1"/>
  <c r="B55" i="1" s="1"/>
  <c r="B42" i="2"/>
  <c r="B43" i="2" s="1"/>
  <c r="F278" i="1" s="1"/>
  <c r="B51" i="1" s="1"/>
  <c r="B52" i="1" s="1"/>
  <c r="B58" i="1" l="1"/>
  <c r="B60" i="1" s="1"/>
  <c r="N58" i="1"/>
  <c r="D37" i="2"/>
  <c r="E37" i="2" l="1"/>
  <c r="C37" i="2"/>
  <c r="A39" i="2" s="1"/>
  <c r="F37" i="2"/>
  <c r="A40" i="2" s="1"/>
  <c r="A42" i="2" s="1"/>
  <c r="A37" i="2"/>
  <c r="B37" i="2"/>
  <c r="A43" i="2" l="1"/>
  <c r="F265" i="1" s="1"/>
  <c r="B64" i="1"/>
  <c r="B63" i="1" l="1"/>
  <c r="B65" i="1" s="1"/>
  <c r="I266" i="1"/>
  <c r="F266" i="1" s="1"/>
  <c r="B49" i="1" s="1"/>
  <c r="B50" i="1" s="1"/>
</calcChain>
</file>

<file path=xl/sharedStrings.xml><?xml version="1.0" encoding="utf-8"?>
<sst xmlns="http://schemas.openxmlformats.org/spreadsheetml/2006/main" count="528" uniqueCount="313">
  <si>
    <t>Item</t>
  </si>
  <si>
    <t>Quantity</t>
  </si>
  <si>
    <t>Unit Cost</t>
  </si>
  <si>
    <t>Total Cost</t>
  </si>
  <si>
    <t>Pavement Asphalt</t>
  </si>
  <si>
    <t>P.C. Concrete</t>
  </si>
  <si>
    <t>Curb and Gutter</t>
  </si>
  <si>
    <t>Miscellaneous Items</t>
  </si>
  <si>
    <t>Cost Per L.F. of Local Street - Case D (Estimate over $50,000)</t>
  </si>
  <si>
    <t xml:space="preserve">     (1)  Curb, Gutter, Sidewalk, Pavement, Base</t>
  </si>
  <si>
    <t xml:space="preserve">           40' between curbs (sidewalk @ property line)</t>
  </si>
  <si>
    <t xml:space="preserve">           36' between curbs (sidewalk @ property line)</t>
  </si>
  <si>
    <t xml:space="preserve">           34' between curbs (sidewalk @ property line)</t>
  </si>
  <si>
    <t xml:space="preserve">           40' between curbs (sidewalk @ curb)</t>
  </si>
  <si>
    <t xml:space="preserve">           36' between curbs (sidewalk @ curb)</t>
  </si>
  <si>
    <t xml:space="preserve">           34' between curbs (sidewalk @ curb)</t>
  </si>
  <si>
    <t xml:space="preserve">     (2)  A.C. Inverted Shoulder Section With Base</t>
  </si>
  <si>
    <t xml:space="preserve">           36' between E.P. (14'/4')</t>
  </si>
  <si>
    <t xml:space="preserve">           36' between E.C. (14'/4' with 4' conc. flowline)</t>
  </si>
  <si>
    <t xml:space="preserve">           30' between E.P. (12'/3')</t>
  </si>
  <si>
    <t xml:space="preserve">           30' between E.C. (12'/3' with conc. flowline)</t>
  </si>
  <si>
    <t xml:space="preserve">           Cul-de-sac (standard)</t>
  </si>
  <si>
    <t xml:space="preserve">           Cul-de-sac (offset)</t>
  </si>
  <si>
    <t xml:space="preserve">           Knuckle (standard)</t>
  </si>
  <si>
    <t xml:space="preserve">           Intersection approach (new) with cross gutter</t>
  </si>
  <si>
    <t xml:space="preserve">           Intersection approach (new) without cross gutter</t>
  </si>
  <si>
    <t xml:space="preserve">           Intersection approach (at existing streets)</t>
  </si>
  <si>
    <t xml:space="preserve">                with cross gutter</t>
  </si>
  <si>
    <t xml:space="preserve">                without cross gutter</t>
  </si>
  <si>
    <t>Drainage Facilities</t>
  </si>
  <si>
    <t>Catch Basins</t>
  </si>
  <si>
    <t xml:space="preserve">Signing </t>
  </si>
  <si>
    <t>Striping (2-Coat Paint)</t>
  </si>
  <si>
    <t>Valuation Total (R)</t>
  </si>
  <si>
    <t>Plan Check Fee (S)</t>
  </si>
  <si>
    <t xml:space="preserve">$100,001 &amp; over </t>
  </si>
  <si>
    <t>/ SF</t>
  </si>
  <si>
    <t>/ CY</t>
  </si>
  <si>
    <t>/ LF</t>
  </si>
  <si>
    <t>&gt;$50k</t>
  </si>
  <si>
    <t>&lt;$50k</t>
  </si>
  <si>
    <t xml:space="preserve"> ( C )</t>
  </si>
  <si>
    <t>( A )</t>
  </si>
  <si>
    <t>( B )</t>
  </si>
  <si>
    <t>( E )</t>
  </si>
  <si>
    <t>( D )</t>
  </si>
  <si>
    <t>( F )</t>
  </si>
  <si>
    <t>( G )</t>
  </si>
  <si>
    <t>( H )</t>
  </si>
  <si>
    <t>( J )</t>
  </si>
  <si>
    <t>( I )</t>
  </si>
  <si>
    <t>( K )</t>
  </si>
  <si>
    <t>( M )</t>
  </si>
  <si>
    <t>( N )</t>
  </si>
  <si>
    <t>( O )</t>
  </si>
  <si>
    <t>( P )</t>
  </si>
  <si>
    <t>( Q )</t>
  </si>
  <si>
    <t>( L )</t>
  </si>
  <si>
    <t xml:space="preserve">Street Tree Subtotal = </t>
  </si>
  <si>
    <t xml:space="preserve">Contingency (15% x L) = </t>
  </si>
  <si>
    <t xml:space="preserve">Inflation [12% x (L+M)] = </t>
  </si>
  <si>
    <t xml:space="preserve">Improvement Total (L+M+N) = </t>
  </si>
  <si>
    <t>round up to nearest hundred</t>
  </si>
  <si>
    <t xml:space="preserve">Traffic Control Plan (5% x E) = </t>
  </si>
  <si>
    <t xml:space="preserve">Contingency [15% x (E+F)] = </t>
  </si>
  <si>
    <t xml:space="preserve">Inflation [12% x (E+F+G)] = </t>
  </si>
  <si>
    <t xml:space="preserve">Improvement Total (E+F+G+H) = </t>
  </si>
  <si>
    <t>( R )</t>
  </si>
  <si>
    <t>( S )</t>
  </si>
  <si>
    <t xml:space="preserve">STREET IMPROVEMENT SUBTOTAL = </t>
  </si>
  <si>
    <t xml:space="preserve">STREET LIGHTING SUBTOTAL = </t>
  </si>
  <si>
    <t xml:space="preserve">UNDERGROUND UTILITY SUBTOTAL = </t>
  </si>
  <si>
    <t>City of Santa Clarita</t>
  </si>
  <si>
    <t>Prepared by:</t>
  </si>
  <si>
    <t>Approved by:</t>
  </si>
  <si>
    <t>A.C. (removal)</t>
  </si>
  <si>
    <t xml:space="preserve">A.C. (coldmill) </t>
  </si>
  <si>
    <t>Sidewalk (4" Thick)</t>
  </si>
  <si>
    <t>Alley Intersection (6")</t>
  </si>
  <si>
    <t>Cross-Gutter (8")</t>
  </si>
  <si>
    <t>Driveway (4")</t>
  </si>
  <si>
    <t>Local Depression (3")</t>
  </si>
  <si>
    <t>Driveway (6" -commercial)</t>
  </si>
  <si>
    <t>Curb Ramp (with detectable warning surface)</t>
  </si>
  <si>
    <t>Pavement (9")</t>
  </si>
  <si>
    <t>Grouted Rip Rap (6"-12")</t>
  </si>
  <si>
    <t>Grouted Rip Rap (12"-19")</t>
  </si>
  <si>
    <t>Gunite (3")</t>
  </si>
  <si>
    <t>Reinforced Concrete</t>
  </si>
  <si>
    <t>P.C.C. Inverted Shoulder (7-1/2" CF)</t>
  </si>
  <si>
    <t>P.C.C. Curb and 2' Gutter (Type A2-6)</t>
  </si>
  <si>
    <t>P.C.C. Curb and 2' Gutter (Type A2-8)</t>
  </si>
  <si>
    <t>P.C.C. Curb and 2' Gutter (Type B1-6)</t>
  </si>
  <si>
    <t>P.C.C. Curb and 2' Gutter (Type B2,(3)-6)</t>
  </si>
  <si>
    <t>P.C.C. Curb Type C</t>
  </si>
  <si>
    <t>A.C. Curb Type D</t>
  </si>
  <si>
    <t>P.C.C. Alley Gutter</t>
  </si>
  <si>
    <t>Street Name Signs</t>
  </si>
  <si>
    <t>Unclassified Excavation</t>
  </si>
  <si>
    <t>Clearing &amp; Grubbing</t>
  </si>
  <si>
    <t>Sawcut</t>
  </si>
  <si>
    <t>Concrete Removal Non Reinforced</t>
  </si>
  <si>
    <t>Concrete Removal Reinforced</t>
  </si>
  <si>
    <t>Crushed Agg. Base (under AC &amp; PCC pavement)</t>
  </si>
  <si>
    <t>Crushed Agg. Base (under sidewalk, c&amp;g, driveway)</t>
  </si>
  <si>
    <t>Crushed Agg. Base (removal)</t>
  </si>
  <si>
    <t>6 Mil Polyethylene Film Membrane (30" deep)</t>
  </si>
  <si>
    <t>Trench Backfill Slurry (270-E-500)</t>
  </si>
  <si>
    <t>Geotextile fabric</t>
  </si>
  <si>
    <t>Guard Rail</t>
  </si>
  <si>
    <t>Guide Markers</t>
  </si>
  <si>
    <t>Chain Link Fence (5')</t>
  </si>
  <si>
    <t>Chain Link Fence (6')</t>
  </si>
  <si>
    <t>Adjust manhole</t>
  </si>
  <si>
    <t>Tree Well and Covers</t>
  </si>
  <si>
    <t>Remove Temporary Turnaround</t>
  </si>
  <si>
    <t>Construct Temporary Turnaround</t>
  </si>
  <si>
    <t>Curb Drain - 1 Pipe</t>
  </si>
  <si>
    <t>Curb Drain - 2 Pipes</t>
  </si>
  <si>
    <t>Curb Drain - 3 Pipes</t>
  </si>
  <si>
    <t>Parkway Drain No. 1</t>
  </si>
  <si>
    <t>Catch Basin No. 300, W=3.5'</t>
  </si>
  <si>
    <t>Catch Basin No. 300, W=7'-10'</t>
  </si>
  <si>
    <t>Catch Basin No. 300, W=14'</t>
  </si>
  <si>
    <t>Catch Basin No. 300, W=17', 21'</t>
  </si>
  <si>
    <t>Catch Basin No. 300, W=28'</t>
  </si>
  <si>
    <t>Catch Basin No. 301, W=7' - 1 Grate</t>
  </si>
  <si>
    <t>Catch Basin No. 301, W=10' - 1 Grate</t>
  </si>
  <si>
    <t>Catch Basin No. 301, W=14' - 1 Grate</t>
  </si>
  <si>
    <t>Catch Basin No. 301, W=21' - 3 Grates</t>
  </si>
  <si>
    <t>Catch Basin No. 301, W=28' - 3 Grates</t>
  </si>
  <si>
    <t>Catch Basin No. 301, W=28' - 2 Grates</t>
  </si>
  <si>
    <t>Catch Basin No. 301, W=14' - 2 Grates</t>
  </si>
  <si>
    <t>Catch Basin No. 301, W=21' - 2 Grates</t>
  </si>
  <si>
    <t xml:space="preserve">Street Lights    </t>
  </si>
  <si>
    <t>Furnish/Install Sign Panel on One Post</t>
  </si>
  <si>
    <t>Furnish/Install Sign Panel on Two Posts</t>
  </si>
  <si>
    <t>Furnish/Install Sign Panel</t>
  </si>
  <si>
    <t>Remove Sign</t>
  </si>
  <si>
    <t>Relocate Sign</t>
  </si>
  <si>
    <t>Install Detail 1 (2-Coat Paint)</t>
  </si>
  <si>
    <t>Install Detail 2 (2-Coat Paint)</t>
  </si>
  <si>
    <t>Install Detail 8 (2-Coat Paint)</t>
  </si>
  <si>
    <t>Install Detail 9 (2-Coat Paint)</t>
  </si>
  <si>
    <t>Install Detail 15 (2-Coat Paint)</t>
  </si>
  <si>
    <t>Install Detail 16 (2-Coat Paint)</t>
  </si>
  <si>
    <t>Install Detail 21 (2-Coat Paint)</t>
  </si>
  <si>
    <t>Install Detail 22 (2-Coat Paint)</t>
  </si>
  <si>
    <t>Install Detail 24 (2-Coat Paint)</t>
  </si>
  <si>
    <t>Install Detail 25 (2-Coat Paint)</t>
  </si>
  <si>
    <t>Install Detail 27B (2-Coat Paint)</t>
  </si>
  <si>
    <t>Install Detail 28 (2-Coat Paint)</t>
  </si>
  <si>
    <t>Install Detail 29 (2-Coat Paint)</t>
  </si>
  <si>
    <t>Install Detail 31 (2-Coat Paint)</t>
  </si>
  <si>
    <t>Install Detail 32 (2-Coat Paint)</t>
  </si>
  <si>
    <t>Install Detail 37B (2-Coat Paint)</t>
  </si>
  <si>
    <t>Install Detail 38 (2-Coat Paint)</t>
  </si>
  <si>
    <t>Install Detail 38A (2-Coat Paint)</t>
  </si>
  <si>
    <t>Install Detail 40 (2-Coat Paint)</t>
  </si>
  <si>
    <t>Install Detail 41 (2-Coat Paint)</t>
  </si>
  <si>
    <t>Install Pavement Marking (2-Coat Paint) ($3.00/SF)</t>
  </si>
  <si>
    <t>Install Curb Marking (2-Coat Paint)</t>
  </si>
  <si>
    <t>Remove Detail 1 (2-Coat Paint)</t>
  </si>
  <si>
    <t>Remove Detail 2 (2-Coat Paint)</t>
  </si>
  <si>
    <t>Remove Detail 8 (2-Coat Paint)</t>
  </si>
  <si>
    <t>Remove Detail 9 (2-Coat Paint)</t>
  </si>
  <si>
    <t>Remove Detail 15 (2-Coat Paint)</t>
  </si>
  <si>
    <t>Remove Detail 16 (2-Coat Paint)</t>
  </si>
  <si>
    <t>Remove Detail 21 (2-Coat Paint)</t>
  </si>
  <si>
    <t>Remove Detail 22 (2-Coat Paint)</t>
  </si>
  <si>
    <t>Remove Detail 24 (2-Coat Paint)</t>
  </si>
  <si>
    <t>Remove Detail 25 (2-Coat Paint)</t>
  </si>
  <si>
    <t>Remove Detail 27B (2-Coat Paint)</t>
  </si>
  <si>
    <t>Remove Detail 28 (2-Coat Paint)</t>
  </si>
  <si>
    <t>Remove Detail 29 (2-Coat Paint)</t>
  </si>
  <si>
    <t>Remove Detail 31 (2-Coat Paint)</t>
  </si>
  <si>
    <t>Remove Detail 32 (2-Coat Paint)</t>
  </si>
  <si>
    <t>Remove Detail 37B (2-Coat Paint)</t>
  </si>
  <si>
    <t>Remove Detail 38 (2-Coat Paint)</t>
  </si>
  <si>
    <t>Remove Detail 38A (2-Coat Paint)</t>
  </si>
  <si>
    <t>Remove Detail 40 (2-Coat Paint)</t>
  </si>
  <si>
    <t>Remove Detail 41 (2-Coat Paint)</t>
  </si>
  <si>
    <t>Remove Pavement Marking (2-Coat Paint) ($4.00/SF)</t>
  </si>
  <si>
    <t>Remove Curb Marking (2-Coat Paint)</t>
  </si>
  <si>
    <t>A.C. (2") - Performance Grade</t>
  </si>
  <si>
    <t>A.C. (3") - Performance Grade</t>
  </si>
  <si>
    <t>A.C. (4") - Performance Grade</t>
  </si>
  <si>
    <t>A.C. (6") - Performance Grade</t>
  </si>
  <si>
    <r>
      <t>Street Bond Amount</t>
    </r>
    <r>
      <rPr>
        <sz val="10"/>
        <color indexed="8"/>
        <rFont val="Arial"/>
        <family val="2"/>
      </rPr>
      <t xml:space="preserve"> (I+J) = </t>
    </r>
  </si>
  <si>
    <t>Street Trees</t>
  </si>
  <si>
    <t>TABLE 2 - Inspection Fee Calculation**</t>
  </si>
  <si>
    <t>$25,001 - $100,000</t>
  </si>
  <si>
    <t>STREET LIGHTING - VALUATION</t>
  </si>
  <si>
    <t>STREET IMPROVEMENTS - VALUATION</t>
  </si>
  <si>
    <t>STREET IMPROVEMENT - BOND</t>
  </si>
  <si>
    <t>STREET TREE - BOND</t>
  </si>
  <si>
    <t>Valuation</t>
  </si>
  <si>
    <t>Street Improvements</t>
  </si>
  <si>
    <t>Street Lighting</t>
  </si>
  <si>
    <t>Signing &amp; Striping</t>
  </si>
  <si>
    <t>( C )</t>
  </si>
  <si>
    <t>( E)</t>
  </si>
  <si>
    <t>Bonds</t>
  </si>
  <si>
    <t>Street Improvement - Faithful Performance</t>
  </si>
  <si>
    <t>Street Improvement - Labor &amp; Materials</t>
  </si>
  <si>
    <t>Street Tree - Faithful Performance</t>
  </si>
  <si>
    <t>Street Tree - Labor &amp; Materials</t>
  </si>
  <si>
    <t>( Q ) / 2</t>
  </si>
  <si>
    <t>Inspection Fee</t>
  </si>
  <si>
    <t>Permit Issuance Fee</t>
  </si>
  <si>
    <t xml:space="preserve">Total = </t>
  </si>
  <si>
    <t>( K ) / 2</t>
  </si>
  <si>
    <t>SUMMARY</t>
  </si>
  <si>
    <t>each</t>
  </si>
  <si>
    <t>(place Engineer's seal, exp.date &amp; signature below)</t>
  </si>
  <si>
    <t>Name</t>
  </si>
  <si>
    <t>Signature</t>
  </si>
  <si>
    <t>Date</t>
  </si>
  <si>
    <t xml:space="preserve">SIGNING &amp; STRIPING SUBTOTAL = </t>
  </si>
  <si>
    <t>( E1)</t>
  </si>
  <si>
    <t>**Inspection fees are an estimated amount and subject to change.  The fee is based on the final approved plan</t>
  </si>
  <si>
    <t>Tree Removal (average 12" diameter)</t>
  </si>
  <si>
    <r>
      <t xml:space="preserve">Lump Sum </t>
    </r>
    <r>
      <rPr>
        <b/>
        <i/>
        <sz val="10"/>
        <rFont val="Arial"/>
        <family val="2"/>
      </rPr>
      <t>(enter dollar amount)</t>
    </r>
  </si>
  <si>
    <r>
      <t xml:space="preserve">STOP = 22 SF  </t>
    </r>
    <r>
      <rPr>
        <b/>
        <i/>
        <sz val="10"/>
        <rFont val="Arial"/>
        <family val="2"/>
      </rPr>
      <t>(enter 'each' quantity)</t>
    </r>
  </si>
  <si>
    <r>
      <t xml:space="preserve">SIGNAL = 32 SF  </t>
    </r>
    <r>
      <rPr>
        <b/>
        <i/>
        <sz val="10"/>
        <rFont val="Arial"/>
        <family val="2"/>
      </rPr>
      <t>(enter 'each' quantity)</t>
    </r>
  </si>
  <si>
    <r>
      <t xml:space="preserve">SCHOOL = 35 SF  </t>
    </r>
    <r>
      <rPr>
        <b/>
        <i/>
        <sz val="10"/>
        <rFont val="Arial"/>
        <family val="2"/>
      </rPr>
      <t>(enter 'each' quantity)</t>
    </r>
  </si>
  <si>
    <r>
      <t xml:space="preserve">AHEAD = 31 SF  </t>
    </r>
    <r>
      <rPr>
        <b/>
        <i/>
        <sz val="10"/>
        <rFont val="Arial"/>
        <family val="2"/>
      </rPr>
      <t>(enter 'each' quantity)</t>
    </r>
  </si>
  <si>
    <r>
      <t xml:space="preserve">YIELD = 24 SF </t>
    </r>
    <r>
      <rPr>
        <b/>
        <sz val="10"/>
        <rFont val="Arial"/>
        <family val="2"/>
      </rPr>
      <t xml:space="preserve"> (</t>
    </r>
    <r>
      <rPr>
        <b/>
        <i/>
        <sz val="10"/>
        <rFont val="Arial"/>
        <family val="2"/>
      </rPr>
      <t>enter 'each' quantity)</t>
    </r>
  </si>
  <si>
    <r>
      <t xml:space="preserve">Type IV Arrow = 15 SF  </t>
    </r>
    <r>
      <rPr>
        <b/>
        <i/>
        <sz val="10"/>
        <rFont val="Arial"/>
        <family val="2"/>
      </rPr>
      <t>(enter 'each' quantity)</t>
    </r>
  </si>
  <si>
    <t>+</t>
  </si>
  <si>
    <t>over</t>
  </si>
  <si>
    <t xml:space="preserve">per 1000 over </t>
  </si>
  <si>
    <t>Instructions:</t>
  </si>
  <si>
    <t>use drop-down arrow to select 'Y' for Yes or 'N' for No)</t>
  </si>
  <si>
    <r>
      <rPr>
        <b/>
        <sz val="10"/>
        <rFont val="Arial"/>
        <family val="2"/>
      </rPr>
      <t>(F1)</t>
    </r>
    <r>
      <rPr>
        <sz val="10"/>
        <rFont val="Arial"/>
        <family val="2"/>
      </rPr>
      <t xml:space="preserve">    Traffic Control Plan required?     </t>
    </r>
    <r>
      <rPr>
        <b/>
        <i/>
        <sz val="9"/>
        <rFont val="Arial"/>
        <family val="2"/>
      </rPr>
      <t xml:space="preserve"> (click in cell and</t>
    </r>
  </si>
  <si>
    <t>Encroachment Permit - Street</t>
  </si>
  <si>
    <t>Undergrounding of Existing Utilities</t>
  </si>
  <si>
    <t>UNDERGROUNDING OF EXISTING OVERHEAD UTILITIES - VALUATION</t>
  </si>
  <si>
    <t>Undergrounding of Existing Overhead Utilities</t>
  </si>
  <si>
    <t>Notes:</t>
  </si>
  <si>
    <t xml:space="preserve">Inspection (use Table 2 below) = </t>
  </si>
  <si>
    <r>
      <t xml:space="preserve">*Plan Review Fee </t>
    </r>
    <r>
      <rPr>
        <sz val="10"/>
        <rFont val="Arial"/>
        <family val="2"/>
      </rPr>
      <t>(use Table 1 below)</t>
    </r>
    <r>
      <rPr>
        <b/>
        <sz val="10"/>
        <rFont val="Arial"/>
        <family val="2"/>
      </rPr>
      <t xml:space="preserve"> = </t>
    </r>
  </si>
  <si>
    <t xml:space="preserve"> - Drainage devices not transferrable to LA County Flood Control District (LACFCD), i.e. road culverts/drains, shall be included on</t>
  </si>
  <si>
    <r>
      <t>*Plan Reviews beyond 3</t>
    </r>
    <r>
      <rPr>
        <i/>
        <vertAlign val="superscript"/>
        <sz val="10"/>
        <rFont val="Arial"/>
        <family val="2"/>
      </rPr>
      <t>rd</t>
    </r>
    <r>
      <rPr>
        <i/>
        <sz val="10"/>
        <rFont val="Arial"/>
        <family val="2"/>
      </rPr>
      <t xml:space="preserve">submittal will require payment of an additional review fee in the amount of 15% of original plan review fee.  </t>
    </r>
  </si>
  <si>
    <t>Plan Review Fee</t>
  </si>
  <si>
    <t>Tract / Parcel Map #</t>
  </si>
  <si>
    <t>Phone</t>
  </si>
  <si>
    <t>Email</t>
  </si>
  <si>
    <t>Date prepared</t>
  </si>
  <si>
    <t xml:space="preserve">Bond Processing Fee - Initial = </t>
  </si>
  <si>
    <t xml:space="preserve">Permit Issuance Fee = </t>
  </si>
  <si>
    <t>Records Management Fee</t>
  </si>
  <si>
    <t>Install 12-inch Limit Line (2-Coat Paint)</t>
  </si>
  <si>
    <t>Remove 12-inch Limit Line (2-Coat Paint)</t>
  </si>
  <si>
    <t>Bond &amp; Fee Calculation Sheet - Street Improvements</t>
  </si>
  <si>
    <t>RBAC-Rubberized Asphalt Concrete</t>
  </si>
  <si>
    <t>and date of payment. Verify fee amount with Engineering Services Division prior to payment.</t>
  </si>
  <si>
    <t>Department of Public Works - Engineering Services Division</t>
  </si>
  <si>
    <t>Enter Case #:</t>
  </si>
  <si>
    <t>Range</t>
  </si>
  <si>
    <t>Base Fee</t>
  </si>
  <si>
    <t>Fee Per</t>
  </si>
  <si>
    <t>Over</t>
  </si>
  <si>
    <t>Applicable Data from Table</t>
  </si>
  <si>
    <t>Range Based Fee</t>
  </si>
  <si>
    <t>Overage</t>
  </si>
  <si>
    <t>Overage Quantity</t>
  </si>
  <si>
    <t>Overage Fee</t>
  </si>
  <si>
    <t>Total Fee</t>
  </si>
  <si>
    <t>per</t>
  </si>
  <si>
    <t>valuation</t>
  </si>
  <si>
    <t>$0 - $25,000</t>
  </si>
  <si>
    <t>$100,001 and over</t>
  </si>
  <si>
    <t xml:space="preserve"> + 2.5% of valuation</t>
  </si>
  <si>
    <t>Table 3 -  Street light Review Fee</t>
  </si>
  <si>
    <t>Table 2 - Street Inspection Fee</t>
  </si>
  <si>
    <t>Table 1 -  Street Plan Review Fee</t>
  </si>
  <si>
    <t>total fee</t>
  </si>
  <si>
    <t>of  valuation</t>
  </si>
  <si>
    <t>Project Name</t>
  </si>
  <si>
    <t xml:space="preserve"> + 2.0% of valuation</t>
  </si>
  <si>
    <t>ENG#</t>
  </si>
  <si>
    <t xml:space="preserve"> - Plan Revisions (to a previously approved plan):  Plan Review Fees are charged at actual costs using staff's fully allocated hourly rate </t>
  </si>
  <si>
    <t xml:space="preserve">    with minimum of 4.0 hours plus additional Record's Management fees</t>
  </si>
  <si>
    <t>SIGNING &amp; STRIPING - VALUATION IS DONE AND ASSESSED SEPARATELY BY TRAFFIC DIVISION</t>
  </si>
  <si>
    <r>
      <t xml:space="preserve">(E1 ) Total Valuation   ( E )  &lt; $50,000 </t>
    </r>
    <r>
      <rPr>
        <b/>
        <i/>
        <sz val="9"/>
        <rFont val="Arial"/>
        <family val="2"/>
      </rPr>
      <t>(click in cell and</t>
    </r>
  </si>
  <si>
    <t>use drop-down arrow to select 'Y' for Yes or 'No' for No)</t>
  </si>
  <si>
    <t xml:space="preserve">TOTAL VALUATION (A+B+C+D) = </t>
  </si>
  <si>
    <t>PLAN REVIEW FEE  (EXLUDING SIGNING &amp;STRIPING. WILL BE INVOICED SEPARATELY BY TRAFFIC DIVISION)</t>
  </si>
  <si>
    <t>RATE OF INCREASE</t>
  </si>
  <si>
    <t>this calculation sheet.  (For transferrable drainage systems, use Storm Drain (MTD) Bond &amp; Fee Calculation Sheet)</t>
  </si>
  <si>
    <t>N</t>
  </si>
  <si>
    <t xml:space="preserve"> - Inspection fees calculated below are an estimated amount and subject to change.  The fee is based on the final. approved plan</t>
  </si>
  <si>
    <t>Timing, Signal Interconnect and  Traffic Control/Detour Plans.</t>
  </si>
  <si>
    <t xml:space="preserve">   STR        -</t>
  </si>
  <si>
    <t>Average Plan Checker Rate</t>
  </si>
  <si>
    <t xml:space="preserve">      -  Fill out the quantities of all the appropriate items</t>
  </si>
  <si>
    <t xml:space="preserve">      -  Fill out  information in the cells highlighted in yellow</t>
  </si>
  <si>
    <r>
      <t>Street Tree Bond Amount</t>
    </r>
    <r>
      <rPr>
        <sz val="10"/>
        <color indexed="8"/>
        <rFont val="Arial"/>
        <family val="2"/>
      </rPr>
      <t xml:space="preserve"> (O) = </t>
    </r>
  </si>
  <si>
    <t xml:space="preserve">Valuation for Plan Review [(A+C)+15% Contingency] = </t>
  </si>
  <si>
    <t xml:space="preserve">Initial Bond Processing Fee </t>
  </si>
  <si>
    <t>Expedited Fee</t>
  </si>
  <si>
    <t xml:space="preserve">           the submittal. </t>
  </si>
  <si>
    <t>Note:  Expedited process is not always offered. To avoid delays,</t>
  </si>
  <si>
    <r>
      <rPr>
        <b/>
        <sz val="10"/>
        <rFont val="Arial"/>
        <family val="2"/>
      </rPr>
      <t>(A1)</t>
    </r>
    <r>
      <rPr>
        <sz val="10"/>
        <rFont val="Arial"/>
        <family val="2"/>
      </rPr>
      <t xml:space="preserve">   Paying expedited fee ?</t>
    </r>
  </si>
  <si>
    <t xml:space="preserve">           please check with any of the Permit Specialists prior to making </t>
  </si>
  <si>
    <t xml:space="preserve">    - On Line (F1) The use of TCP, using the drop-down arrow, select "Y" or "N" as applicable</t>
  </si>
  <si>
    <t xml:space="preserve"> - Contact the Traffic Division for Plan Review fees for the following plans: Signing &amp; Striping, Traffic Signal, Signal</t>
  </si>
  <si>
    <t xml:space="preserve">    - On Line (A1) Expedited process if offered, using the drop-down arrow, select "Y" or "N" as applicable. </t>
  </si>
  <si>
    <t>TABLE 1 -Street Improvement Plan Review Fee Calculation</t>
  </si>
  <si>
    <t>Improvement Total (E)</t>
  </si>
  <si>
    <t>Inspection Fee (J)</t>
  </si>
  <si>
    <t>Updated fees effective on 08/24/2026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</si>
</sst>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%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vertAlign val="superscript"/>
      <sz val="10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 tint="-0.34998626667073579"/>
      <name val="Arial"/>
      <family val="2"/>
    </font>
    <font>
      <b/>
      <sz val="11"/>
      <color theme="0" tint="-0.34998626667073579"/>
      <name val="Arial"/>
      <family val="2"/>
    </font>
    <font>
      <b/>
      <sz val="10"/>
      <color theme="3" tint="0.39997558519241921"/>
      <name val="Arial"/>
      <family val="2"/>
    </font>
    <font>
      <b/>
      <sz val="10"/>
      <color theme="6" tint="-0.249977111117893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EC8AA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-0.249977111117893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315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3" fontId="1" fillId="3" borderId="1" xfId="1" applyNumberFormat="1" applyFont="1" applyFill="1" applyBorder="1" applyAlignment="1" applyProtection="1">
      <alignment horizontal="center" vertical="center"/>
      <protection locked="0"/>
    </xf>
    <xf numFmtId="3" fontId="1" fillId="3" borderId="2" xfId="1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indent="2"/>
    </xf>
    <xf numFmtId="44" fontId="1" fillId="0" borderId="2" xfId="1" applyFont="1" applyBorder="1" applyAlignment="1" applyProtection="1">
      <alignment vertical="center"/>
    </xf>
    <xf numFmtId="3" fontId="1" fillId="3" borderId="4" xfId="1" applyNumberFormat="1" applyFont="1" applyFill="1" applyBorder="1" applyAlignment="1" applyProtection="1">
      <alignment horizontal="center" vertical="center"/>
      <protection locked="0"/>
    </xf>
    <xf numFmtId="44" fontId="1" fillId="0" borderId="5" xfId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3" fontId="1" fillId="0" borderId="0" xfId="0" applyNumberFormat="1" applyFont="1" applyAlignment="1" applyProtection="1">
      <alignment vertical="center"/>
    </xf>
    <xf numFmtId="44" fontId="1" fillId="0" borderId="0" xfId="1" applyFont="1" applyAlignment="1" applyProtection="1">
      <alignment vertical="center"/>
    </xf>
    <xf numFmtId="0" fontId="7" fillId="0" borderId="6" xfId="0" applyFont="1" applyFill="1" applyBorder="1" applyAlignment="1" applyProtection="1">
      <alignment horizontal="left" vertical="center"/>
    </xf>
    <xf numFmtId="3" fontId="1" fillId="0" borderId="6" xfId="0" applyNumberFormat="1" applyFont="1" applyBorder="1" applyAlignment="1" applyProtection="1">
      <alignment vertical="center"/>
    </xf>
    <xf numFmtId="44" fontId="1" fillId="0" borderId="6" xfId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44" fontId="1" fillId="0" borderId="0" xfId="1" applyFont="1" applyAlignment="1" applyProtection="1">
      <alignment horizontal="left" vertical="center"/>
    </xf>
    <xf numFmtId="44" fontId="16" fillId="0" borderId="0" xfId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4" fontId="1" fillId="0" borderId="0" xfId="1" applyFont="1" applyAlignment="1" applyProtection="1">
      <alignment horizontal="right" vertical="center"/>
    </xf>
    <xf numFmtId="0" fontId="2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left" vertical="center" indent="1"/>
    </xf>
    <xf numFmtId="44" fontId="10" fillId="0" borderId="0" xfId="1" applyFont="1" applyAlignment="1" applyProtection="1">
      <alignment vertical="center"/>
    </xf>
    <xf numFmtId="44" fontId="16" fillId="0" borderId="0" xfId="1" applyFont="1" applyAlignment="1" applyProtection="1">
      <alignment horizontal="center" vertical="center"/>
    </xf>
    <xf numFmtId="44" fontId="11" fillId="0" borderId="0" xfId="1" applyFont="1" applyAlignment="1" applyProtection="1">
      <alignment horizontal="right" vertical="center"/>
    </xf>
    <xf numFmtId="44" fontId="1" fillId="0" borderId="7" xfId="1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center"/>
    </xf>
    <xf numFmtId="44" fontId="1" fillId="0" borderId="0" xfId="1" applyFont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center" vertical="center"/>
    </xf>
    <xf numFmtId="44" fontId="13" fillId="0" borderId="0" xfId="1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3" fontId="1" fillId="0" borderId="0" xfId="0" applyNumberFormat="1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64" fontId="13" fillId="0" borderId="0" xfId="1" applyNumberFormat="1" applyFont="1" applyAlignment="1" applyProtection="1">
      <alignment horizontal="right" vertical="center" indent="4"/>
    </xf>
    <xf numFmtId="3" fontId="22" fillId="0" borderId="0" xfId="0" applyNumberFormat="1" applyFont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center" vertical="center"/>
    </xf>
    <xf numFmtId="3" fontId="23" fillId="0" borderId="0" xfId="0" applyNumberFormat="1" applyFont="1" applyAlignment="1" applyProtection="1">
      <alignment horizontal="right" vertical="center" indent="4"/>
    </xf>
    <xf numFmtId="3" fontId="11" fillId="0" borderId="0" xfId="0" applyNumberFormat="1" applyFont="1" applyAlignment="1" applyProtection="1">
      <alignment horizontal="right" vertical="center"/>
    </xf>
    <xf numFmtId="3" fontId="1" fillId="0" borderId="6" xfId="0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vertical="center"/>
    </xf>
    <xf numFmtId="3" fontId="1" fillId="0" borderId="11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3" fontId="1" fillId="0" borderId="0" xfId="1" applyNumberFormat="1" applyFont="1" applyBorder="1" applyAlignment="1" applyProtection="1">
      <alignment horizontal="center" vertical="center"/>
    </xf>
    <xf numFmtId="44" fontId="1" fillId="0" borderId="13" xfId="1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44" fontId="1" fillId="0" borderId="14" xfId="0" applyNumberFormat="1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44" fontId="21" fillId="0" borderId="15" xfId="0" applyNumberFormat="1" applyFont="1" applyBorder="1" applyAlignment="1" applyProtection="1">
      <alignment vertical="center"/>
    </xf>
    <xf numFmtId="44" fontId="1" fillId="0" borderId="0" xfId="0" applyNumberFormat="1" applyFont="1" applyAlignment="1" applyProtection="1">
      <alignment vertical="center"/>
    </xf>
    <xf numFmtId="44" fontId="1" fillId="0" borderId="0" xfId="0" applyNumberFormat="1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44" fontId="1" fillId="0" borderId="11" xfId="0" applyNumberFormat="1" applyFont="1" applyBorder="1" applyAlignment="1" applyProtection="1">
      <alignment vertical="center"/>
    </xf>
    <xf numFmtId="44" fontId="1" fillId="0" borderId="16" xfId="1" applyFont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</xf>
    <xf numFmtId="0" fontId="21" fillId="0" borderId="7" xfId="0" applyFont="1" applyBorder="1" applyAlignment="1" applyProtection="1">
      <alignment vertical="center"/>
    </xf>
    <xf numFmtId="3" fontId="21" fillId="0" borderId="7" xfId="0" applyNumberFormat="1" applyFont="1" applyBorder="1" applyAlignment="1" applyProtection="1">
      <alignment horizontal="center" vertical="center"/>
    </xf>
    <xf numFmtId="44" fontId="21" fillId="0" borderId="7" xfId="1" applyFont="1" applyBorder="1" applyAlignment="1" applyProtection="1">
      <alignment vertical="center"/>
    </xf>
    <xf numFmtId="3" fontId="1" fillId="0" borderId="12" xfId="1" applyNumberFormat="1" applyFont="1" applyBorder="1" applyAlignment="1" applyProtection="1">
      <alignment horizontal="center" vertical="center"/>
    </xf>
    <xf numFmtId="44" fontId="1" fillId="0" borderId="17" xfId="1" applyFont="1" applyBorder="1" applyAlignment="1" applyProtection="1">
      <alignment vertical="center"/>
    </xf>
    <xf numFmtId="44" fontId="1" fillId="0" borderId="18" xfId="1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44" fontId="1" fillId="0" borderId="12" xfId="0" applyNumberFormat="1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3" fontId="1" fillId="0" borderId="9" xfId="1" applyNumberFormat="1" applyFont="1" applyBorder="1" applyAlignment="1" applyProtection="1">
      <alignment horizontal="center" vertical="center"/>
    </xf>
    <xf numFmtId="44" fontId="1" fillId="0" borderId="8" xfId="1" applyFont="1" applyBorder="1" applyAlignment="1" applyProtection="1">
      <alignment vertical="center"/>
    </xf>
    <xf numFmtId="44" fontId="1" fillId="0" borderId="20" xfId="1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44" fontId="1" fillId="0" borderId="9" xfId="0" applyNumberFormat="1" applyFont="1" applyBorder="1" applyAlignment="1" applyProtection="1">
      <alignment vertical="center"/>
    </xf>
    <xf numFmtId="3" fontId="1" fillId="2" borderId="9" xfId="1" applyNumberFormat="1" applyFont="1" applyFill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vertical="center"/>
    </xf>
    <xf numFmtId="3" fontId="1" fillId="2" borderId="21" xfId="1" applyNumberFormat="1" applyFont="1" applyFill="1" applyBorder="1" applyAlignment="1" applyProtection="1">
      <alignment horizontal="center" vertical="center"/>
    </xf>
    <xf numFmtId="44" fontId="1" fillId="0" borderId="22" xfId="1" applyFont="1" applyBorder="1" applyAlignment="1" applyProtection="1">
      <alignment vertical="center"/>
    </xf>
    <xf numFmtId="44" fontId="1" fillId="0" borderId="23" xfId="1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44" fontId="1" fillId="0" borderId="21" xfId="0" applyNumberFormat="1" applyFont="1" applyBorder="1" applyAlignment="1" applyProtection="1">
      <alignment vertical="center"/>
    </xf>
    <xf numFmtId="3" fontId="1" fillId="0" borderId="0" xfId="1" applyNumberFormat="1" applyFont="1" applyFill="1" applyBorder="1" applyAlignment="1" applyProtection="1">
      <alignment horizontal="center" vertical="center"/>
    </xf>
    <xf numFmtId="44" fontId="1" fillId="0" borderId="24" xfId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44" fontId="21" fillId="0" borderId="9" xfId="0" applyNumberFormat="1" applyFont="1" applyBorder="1" applyAlignment="1" applyProtection="1">
      <alignment vertical="center"/>
    </xf>
    <xf numFmtId="0" fontId="2" fillId="0" borderId="0" xfId="0" applyNumberFormat="1" applyFont="1" applyAlignment="1" applyProtection="1">
      <alignment horizontal="center" vertical="center"/>
    </xf>
    <xf numFmtId="44" fontId="21" fillId="0" borderId="0" xfId="0" applyNumberFormat="1" applyFont="1" applyBorder="1" applyAlignment="1" applyProtection="1">
      <alignment vertical="center"/>
    </xf>
    <xf numFmtId="3" fontId="1" fillId="0" borderId="0" xfId="1" applyNumberFormat="1" applyFont="1" applyFill="1" applyBorder="1" applyAlignment="1" applyProtection="1">
      <alignment vertical="center"/>
    </xf>
    <xf numFmtId="0" fontId="1" fillId="0" borderId="25" xfId="0" applyFont="1" applyBorder="1" applyAlignment="1" applyProtection="1">
      <alignment vertical="center"/>
    </xf>
    <xf numFmtId="3" fontId="1" fillId="0" borderId="26" xfId="0" applyNumberFormat="1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left" vertical="center"/>
    </xf>
    <xf numFmtId="44" fontId="1" fillId="0" borderId="28" xfId="1" applyFont="1" applyBorder="1" applyAlignment="1" applyProtection="1">
      <alignment vertical="center"/>
    </xf>
    <xf numFmtId="0" fontId="1" fillId="0" borderId="28" xfId="0" applyFont="1" applyBorder="1" applyAlignment="1" applyProtection="1">
      <alignment vertical="center"/>
    </xf>
    <xf numFmtId="3" fontId="1" fillId="0" borderId="14" xfId="0" applyNumberFormat="1" applyFont="1" applyBorder="1" applyAlignment="1" applyProtection="1">
      <alignment vertical="center"/>
    </xf>
    <xf numFmtId="0" fontId="1" fillId="0" borderId="23" xfId="0" applyFont="1" applyBorder="1" applyAlignment="1" applyProtection="1">
      <alignment vertical="center"/>
    </xf>
    <xf numFmtId="164" fontId="1" fillId="0" borderId="23" xfId="0" applyNumberFormat="1" applyFont="1" applyBorder="1" applyAlignment="1" applyProtection="1">
      <alignment vertical="center"/>
    </xf>
    <xf numFmtId="44" fontId="21" fillId="0" borderId="14" xfId="0" applyNumberFormat="1" applyFont="1" applyBorder="1" applyAlignment="1" applyProtection="1">
      <alignment vertical="center"/>
    </xf>
    <xf numFmtId="44" fontId="1" fillId="0" borderId="2" xfId="1" applyFont="1" applyFill="1" applyBorder="1" applyAlignment="1" applyProtection="1">
      <alignment vertical="center"/>
    </xf>
    <xf numFmtId="44" fontId="1" fillId="0" borderId="2" xfId="1" applyNumberFormat="1" applyFont="1" applyFill="1" applyBorder="1" applyAlignment="1" applyProtection="1">
      <alignment vertical="center"/>
    </xf>
    <xf numFmtId="6" fontId="1" fillId="0" borderId="0" xfId="1" applyNumberFormat="1" applyFont="1" applyBorder="1" applyAlignment="1" applyProtection="1">
      <alignment vertical="center"/>
    </xf>
    <xf numFmtId="44" fontId="21" fillId="0" borderId="11" xfId="0" applyNumberFormat="1" applyFont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left" vertical="center" indent="2"/>
    </xf>
    <xf numFmtId="0" fontId="1" fillId="0" borderId="29" xfId="0" applyFont="1" applyBorder="1" applyAlignment="1" applyProtection="1">
      <alignment horizontal="left" vertical="center" indent="2"/>
    </xf>
    <xf numFmtId="0" fontId="1" fillId="0" borderId="3" xfId="0" applyFont="1" applyBorder="1" applyAlignment="1" applyProtection="1">
      <alignment horizontal="left" vertical="center" indent="4"/>
    </xf>
    <xf numFmtId="44" fontId="1" fillId="0" borderId="0" xfId="1" applyFont="1" applyFill="1" applyBorder="1" applyAlignment="1" applyProtection="1">
      <alignment vertical="center"/>
    </xf>
    <xf numFmtId="44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44" fontId="21" fillId="0" borderId="30" xfId="0" applyNumberFormat="1" applyFont="1" applyFill="1" applyBorder="1" applyAlignment="1" applyProtection="1">
      <alignment vertical="center"/>
    </xf>
    <xf numFmtId="44" fontId="21" fillId="0" borderId="0" xfId="0" applyNumberFormat="1" applyFont="1" applyFill="1" applyBorder="1" applyAlignment="1" applyProtection="1">
      <alignment vertical="center"/>
    </xf>
    <xf numFmtId="3" fontId="21" fillId="0" borderId="0" xfId="0" applyNumberFormat="1" applyFont="1" applyAlignment="1" applyProtection="1">
      <alignment vertical="center"/>
    </xf>
    <xf numFmtId="44" fontId="21" fillId="0" borderId="31" xfId="0" applyNumberFormat="1" applyFont="1" applyBorder="1" applyAlignment="1" applyProtection="1">
      <alignment vertical="center"/>
    </xf>
    <xf numFmtId="44" fontId="24" fillId="0" borderId="0" xfId="0" applyNumberFormat="1" applyFont="1" applyAlignment="1" applyProtection="1">
      <alignment vertical="center"/>
    </xf>
    <xf numFmtId="44" fontId="2" fillId="0" borderId="0" xfId="1" applyFont="1" applyBorder="1" applyAlignment="1" applyProtection="1">
      <alignment vertical="center"/>
    </xf>
    <xf numFmtId="44" fontId="2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4" fontId="2" fillId="0" borderId="0" xfId="0" applyNumberFormat="1" applyFont="1" applyAlignment="1" applyProtection="1">
      <alignment vertical="center"/>
    </xf>
    <xf numFmtId="0" fontId="1" fillId="0" borderId="21" xfId="0" applyFont="1" applyFill="1" applyBorder="1" applyAlignment="1" applyProtection="1">
      <alignment horizontal="right" vertical="center"/>
    </xf>
    <xf numFmtId="9" fontId="1" fillId="0" borderId="0" xfId="2" applyFont="1" applyBorder="1" applyAlignment="1" applyProtection="1">
      <alignment vertical="center"/>
    </xf>
    <xf numFmtId="44" fontId="21" fillId="0" borderId="0" xfId="1" applyFont="1" applyBorder="1" applyAlignment="1" applyProtection="1">
      <alignment vertical="center"/>
    </xf>
    <xf numFmtId="44" fontId="21" fillId="0" borderId="32" xfId="0" applyNumberFormat="1" applyFont="1" applyBorder="1" applyAlignment="1" applyProtection="1">
      <alignment vertical="center"/>
    </xf>
    <xf numFmtId="0" fontId="17" fillId="0" borderId="12" xfId="0" applyFont="1" applyFill="1" applyBorder="1" applyAlignment="1" applyProtection="1">
      <alignment horizontal="right" vertical="center"/>
    </xf>
    <xf numFmtId="44" fontId="25" fillId="0" borderId="0" xfId="0" applyNumberFormat="1" applyFont="1" applyAlignment="1" applyProtection="1">
      <alignment vertical="center"/>
    </xf>
    <xf numFmtId="44" fontId="1" fillId="0" borderId="10" xfId="0" applyNumberFormat="1" applyFont="1" applyFill="1" applyBorder="1" applyAlignment="1" applyProtection="1">
      <alignment vertical="center"/>
    </xf>
    <xf numFmtId="3" fontId="1" fillId="0" borderId="0" xfId="0" applyNumberFormat="1" applyFont="1" applyFill="1" applyBorder="1" applyAlignment="1" applyProtection="1">
      <alignment vertical="center"/>
    </xf>
    <xf numFmtId="0" fontId="1" fillId="0" borderId="10" xfId="0" applyFont="1" applyFill="1" applyBorder="1" applyAlignment="1" applyProtection="1">
      <alignment vertical="center"/>
    </xf>
    <xf numFmtId="44" fontId="21" fillId="0" borderId="33" xfId="0" applyNumberFormat="1" applyFont="1" applyBorder="1" applyAlignment="1" applyProtection="1">
      <alignment vertical="center"/>
    </xf>
    <xf numFmtId="44" fontId="21" fillId="0" borderId="0" xfId="0" applyNumberFormat="1" applyFont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44" fontId="5" fillId="4" borderId="9" xfId="0" applyNumberFormat="1" applyFont="1" applyFill="1" applyBorder="1" applyAlignment="1" applyProtection="1">
      <alignment vertical="center"/>
    </xf>
    <xf numFmtId="0" fontId="1" fillId="0" borderId="17" xfId="0" applyFont="1" applyBorder="1" applyAlignment="1" applyProtection="1">
      <alignment vertical="center"/>
    </xf>
    <xf numFmtId="3" fontId="1" fillId="0" borderId="18" xfId="0" applyNumberFormat="1" applyFont="1" applyBorder="1" applyAlignment="1" applyProtection="1">
      <alignment vertical="center"/>
    </xf>
    <xf numFmtId="44" fontId="1" fillId="0" borderId="18" xfId="1" applyFont="1" applyBorder="1" applyAlignment="1" applyProtection="1">
      <alignment horizontal="right" vertical="center"/>
    </xf>
    <xf numFmtId="0" fontId="1" fillId="0" borderId="18" xfId="0" applyFont="1" applyFill="1" applyBorder="1" applyAlignment="1" applyProtection="1">
      <alignment vertical="center"/>
    </xf>
    <xf numFmtId="44" fontId="7" fillId="0" borderId="19" xfId="0" applyNumberFormat="1" applyFont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vertical="center"/>
    </xf>
    <xf numFmtId="44" fontId="1" fillId="0" borderId="0" xfId="0" applyNumberFormat="1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44" fontId="21" fillId="0" borderId="34" xfId="0" applyNumberFormat="1" applyFont="1" applyBorder="1" applyAlignment="1" applyProtection="1">
      <alignment vertical="center"/>
    </xf>
    <xf numFmtId="0" fontId="1" fillId="0" borderId="34" xfId="0" applyFont="1" applyBorder="1" applyAlignment="1" applyProtection="1">
      <alignment vertical="center"/>
    </xf>
    <xf numFmtId="44" fontId="1" fillId="0" borderId="34" xfId="0" applyNumberFormat="1" applyFont="1" applyBorder="1" applyAlignment="1" applyProtection="1">
      <alignment vertical="center"/>
    </xf>
    <xf numFmtId="44" fontId="1" fillId="0" borderId="35" xfId="0" applyNumberFormat="1" applyFont="1" applyBorder="1" applyAlignment="1" applyProtection="1">
      <alignment vertical="center"/>
    </xf>
    <xf numFmtId="44" fontId="1" fillId="0" borderId="15" xfId="0" applyNumberFormat="1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44" fontId="5" fillId="4" borderId="12" xfId="0" applyNumberFormat="1" applyFont="1" applyFill="1" applyBorder="1" applyAlignment="1" applyProtection="1">
      <alignment vertical="center"/>
    </xf>
    <xf numFmtId="0" fontId="1" fillId="0" borderId="18" xfId="0" applyFont="1" applyBorder="1" applyAlignment="1" applyProtection="1">
      <alignment horizontal="right" vertical="center"/>
    </xf>
    <xf numFmtId="0" fontId="21" fillId="0" borderId="18" xfId="0" applyFont="1" applyBorder="1" applyAlignment="1" applyProtection="1">
      <alignment vertical="center"/>
    </xf>
    <xf numFmtId="44" fontId="7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right" vertical="center" wrapText="1"/>
    </xf>
    <xf numFmtId="0" fontId="21" fillId="0" borderId="11" xfId="0" applyFont="1" applyBorder="1" applyAlignment="1" applyProtection="1">
      <alignment vertical="center"/>
    </xf>
    <xf numFmtId="44" fontId="21" fillId="0" borderId="12" xfId="0" applyNumberFormat="1" applyFont="1" applyBorder="1" applyAlignment="1" applyProtection="1">
      <alignment vertical="center"/>
    </xf>
    <xf numFmtId="44" fontId="21" fillId="0" borderId="18" xfId="1" applyFont="1" applyBorder="1" applyAlignment="1" applyProtection="1">
      <alignment vertical="center"/>
    </xf>
    <xf numFmtId="0" fontId="2" fillId="0" borderId="18" xfId="0" applyFont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vertical="center"/>
    </xf>
    <xf numFmtId="3" fontId="21" fillId="0" borderId="0" xfId="0" applyNumberFormat="1" applyFont="1" applyBorder="1" applyAlignment="1" applyProtection="1">
      <alignment vertical="center"/>
    </xf>
    <xf numFmtId="0" fontId="21" fillId="0" borderId="0" xfId="0" applyNumberFormat="1" applyFont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</xf>
    <xf numFmtId="0" fontId="1" fillId="0" borderId="14" xfId="0" applyNumberFormat="1" applyFont="1" applyBorder="1" applyAlignment="1" applyProtection="1">
      <alignment horizontal="left" vertical="center" indent="1"/>
    </xf>
    <xf numFmtId="0" fontId="1" fillId="0" borderId="10" xfId="0" applyFont="1" applyBorder="1" applyAlignment="1" applyProtection="1">
      <alignment horizontal="left" vertical="center" wrapText="1" indent="11"/>
    </xf>
    <xf numFmtId="6" fontId="1" fillId="0" borderId="0" xfId="0" applyNumberFormat="1" applyFont="1" applyBorder="1" applyAlignment="1" applyProtection="1">
      <alignment horizontal="left" vertical="center" wrapText="1"/>
    </xf>
    <xf numFmtId="0" fontId="1" fillId="0" borderId="11" xfId="0" applyNumberFormat="1" applyFont="1" applyBorder="1" applyAlignment="1" applyProtection="1">
      <alignment horizontal="left" vertical="center" indent="1"/>
    </xf>
    <xf numFmtId="44" fontId="1" fillId="0" borderId="0" xfId="1" quotePrefix="1" applyFont="1" applyBorder="1" applyAlignment="1" applyProtection="1">
      <alignment horizontal="center" vertical="center"/>
    </xf>
    <xf numFmtId="10" fontId="21" fillId="0" borderId="0" xfId="1" applyNumberFormat="1" applyFont="1" applyBorder="1" applyAlignment="1" applyProtection="1">
      <alignment horizontal="center" vertical="center"/>
    </xf>
    <xf numFmtId="6" fontId="1" fillId="0" borderId="0" xfId="0" applyNumberFormat="1" applyFont="1" applyBorder="1" applyAlignment="1" applyProtection="1">
      <alignment horizontal="center" vertical="center"/>
    </xf>
    <xf numFmtId="6" fontId="1" fillId="0" borderId="0" xfId="0" applyNumberFormat="1" applyFont="1" applyBorder="1" applyAlignment="1" applyProtection="1">
      <alignment horizontal="left" vertical="center"/>
    </xf>
    <xf numFmtId="164" fontId="21" fillId="0" borderId="0" xfId="1" applyNumberFormat="1" applyFont="1" applyBorder="1" applyAlignment="1" applyProtection="1">
      <alignment horizontal="center" vertical="center"/>
    </xf>
    <xf numFmtId="165" fontId="1" fillId="0" borderId="11" xfId="0" applyNumberFormat="1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left" vertical="center" wrapText="1" indent="11"/>
    </xf>
    <xf numFmtId="44" fontId="1" fillId="0" borderId="18" xfId="1" quotePrefix="1" applyFont="1" applyBorder="1" applyAlignment="1" applyProtection="1">
      <alignment horizontal="center" vertical="center"/>
    </xf>
    <xf numFmtId="164" fontId="21" fillId="0" borderId="18" xfId="1" applyNumberFormat="1" applyFont="1" applyBorder="1" applyAlignment="1" applyProtection="1">
      <alignment horizontal="center" vertical="center"/>
    </xf>
    <xf numFmtId="6" fontId="1" fillId="0" borderId="18" xfId="0" applyNumberFormat="1" applyFont="1" applyBorder="1" applyAlignment="1" applyProtection="1">
      <alignment horizontal="center" vertical="center"/>
    </xf>
    <xf numFmtId="165" fontId="1" fillId="0" borderId="19" xfId="0" applyNumberFormat="1" applyFont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/>
    </xf>
    <xf numFmtId="6" fontId="1" fillId="0" borderId="0" xfId="0" applyNumberFormat="1" applyFont="1" applyBorder="1" applyAlignment="1" applyProtection="1">
      <alignment horizontal="center" vertical="center" wrapText="1"/>
    </xf>
    <xf numFmtId="166" fontId="1" fillId="0" borderId="18" xfId="1" quotePrefix="1" applyNumberFormat="1" applyFont="1" applyBorder="1" applyAlignment="1" applyProtection="1">
      <alignment horizontal="center" vertical="center"/>
    </xf>
    <xf numFmtId="6" fontId="1" fillId="0" borderId="18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/>
    </xf>
    <xf numFmtId="3" fontId="2" fillId="0" borderId="0" xfId="0" applyNumberFormat="1" applyFont="1" applyAlignment="1" applyProtection="1">
      <alignment vertical="center"/>
    </xf>
    <xf numFmtId="44" fontId="21" fillId="0" borderId="0" xfId="1" applyFont="1" applyAlignment="1" applyProtection="1">
      <alignment vertical="center"/>
    </xf>
    <xf numFmtId="0" fontId="1" fillId="0" borderId="0" xfId="0" applyFont="1" applyFill="1" applyBorder="1" applyAlignment="1" applyProtection="1">
      <alignment horizontal="right" vertical="center" wrapText="1"/>
    </xf>
    <xf numFmtId="0" fontId="21" fillId="0" borderId="36" xfId="0" applyFont="1" applyBorder="1" applyAlignment="1" applyProtection="1">
      <alignment vertical="center"/>
    </xf>
    <xf numFmtId="0" fontId="21" fillId="0" borderId="37" xfId="0" applyFont="1" applyBorder="1" applyAlignment="1" applyProtection="1">
      <alignment vertical="center"/>
    </xf>
    <xf numFmtId="3" fontId="1" fillId="0" borderId="7" xfId="1" applyNumberFormat="1" applyFont="1" applyFill="1" applyBorder="1" applyAlignment="1" applyProtection="1">
      <alignment horizontal="center" vertical="center"/>
    </xf>
    <xf numFmtId="44" fontId="1" fillId="0" borderId="7" xfId="0" applyNumberFormat="1" applyFont="1" applyFill="1" applyBorder="1" applyAlignment="1" applyProtection="1">
      <alignment vertical="center"/>
    </xf>
    <xf numFmtId="44" fontId="1" fillId="0" borderId="5" xfId="0" applyNumberFormat="1" applyFont="1" applyBorder="1" applyAlignment="1" applyProtection="1">
      <alignment vertical="center"/>
    </xf>
    <xf numFmtId="164" fontId="1" fillId="5" borderId="0" xfId="0" applyNumberFormat="1" applyFont="1" applyFill="1" applyAlignment="1" applyProtection="1">
      <alignment vertical="center"/>
    </xf>
    <xf numFmtId="44" fontId="19" fillId="0" borderId="0" xfId="1" applyFont="1" applyAlignment="1" applyProtection="1">
      <alignment horizontal="right" vertical="top"/>
    </xf>
    <xf numFmtId="0" fontId="1" fillId="0" borderId="3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165" fontId="21" fillId="5" borderId="0" xfId="0" applyNumberFormat="1" applyFont="1" applyFill="1" applyBorder="1" applyAlignment="1">
      <alignment vertical="center"/>
    </xf>
    <xf numFmtId="0" fontId="21" fillId="5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42" xfId="0" applyFont="1" applyBorder="1" applyAlignment="1">
      <alignment vertical="center"/>
    </xf>
    <xf numFmtId="0" fontId="21" fillId="0" borderId="43" xfId="0" applyFont="1" applyBorder="1" applyAlignment="1">
      <alignment horizontal="center" vertical="center"/>
    </xf>
    <xf numFmtId="164" fontId="21" fillId="5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5" borderId="0" xfId="0" applyNumberFormat="1" applyFont="1" applyFill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3" fontId="1" fillId="0" borderId="42" xfId="0" applyNumberFormat="1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5" fontId="1" fillId="5" borderId="6" xfId="0" applyNumberFormat="1" applyFont="1" applyFill="1" applyBorder="1" applyAlignment="1">
      <alignment vertical="center"/>
    </xf>
    <xf numFmtId="164" fontId="21" fillId="5" borderId="6" xfId="0" applyNumberFormat="1" applyFont="1" applyFill="1" applyBorder="1" applyAlignment="1">
      <alignment horizontal="right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45" xfId="0" applyNumberFormat="1" applyFont="1" applyBorder="1" applyAlignment="1">
      <alignment vertical="center"/>
    </xf>
    <xf numFmtId="0" fontId="0" fillId="0" borderId="0" xfId="0" applyBorder="1"/>
    <xf numFmtId="6" fontId="0" fillId="0" borderId="0" xfId="0" applyNumberFormat="1" applyBorder="1"/>
    <xf numFmtId="165" fontId="1" fillId="0" borderId="0" xfId="0" applyNumberFormat="1" applyFont="1" applyBorder="1" applyAlignment="1">
      <alignment vertical="center"/>
    </xf>
    <xf numFmtId="164" fontId="2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164" fontId="0" fillId="0" borderId="0" xfId="0" applyNumberFormat="1" applyBorder="1"/>
    <xf numFmtId="0" fontId="1" fillId="0" borderId="0" xfId="0" applyFont="1" applyBorder="1" applyAlignment="1">
      <alignment horizontal="left" vertical="center"/>
    </xf>
    <xf numFmtId="3" fontId="0" fillId="0" borderId="0" xfId="0" applyNumberFormat="1" applyBorder="1"/>
    <xf numFmtId="0" fontId="1" fillId="0" borderId="0" xfId="0" applyFont="1" applyFill="1" applyBorder="1" applyAlignment="1">
      <alignment horizontal="left" vertical="center"/>
    </xf>
    <xf numFmtId="4" fontId="0" fillId="0" borderId="0" xfId="0" applyNumberFormat="1" applyBorder="1"/>
    <xf numFmtId="166" fontId="21" fillId="5" borderId="0" xfId="2" applyNumberFormat="1" applyFont="1" applyFill="1" applyBorder="1" applyAlignment="1">
      <alignment vertical="center"/>
    </xf>
    <xf numFmtId="166" fontId="21" fillId="5" borderId="0" xfId="2" applyNumberFormat="1" applyFont="1" applyFill="1" applyBorder="1" applyAlignment="1">
      <alignment horizontal="right" vertical="center"/>
    </xf>
    <xf numFmtId="44" fontId="0" fillId="0" borderId="0" xfId="0" applyNumberFormat="1" applyBorder="1"/>
    <xf numFmtId="166" fontId="21" fillId="0" borderId="0" xfId="2" applyNumberFormat="1" applyFont="1" applyBorder="1" applyAlignment="1">
      <alignment horizontal="right" vertical="center"/>
    </xf>
    <xf numFmtId="44" fontId="1" fillId="0" borderId="0" xfId="1" quotePrefix="1" applyFont="1" applyBorder="1" applyAlignment="1" applyProtection="1">
      <alignment horizontal="left" vertical="center"/>
    </xf>
    <xf numFmtId="6" fontId="1" fillId="0" borderId="18" xfId="0" applyNumberFormat="1" applyFont="1" applyBorder="1" applyAlignment="1" applyProtection="1">
      <alignment horizontal="left" vertical="center"/>
    </xf>
    <xf numFmtId="44" fontId="1" fillId="0" borderId="18" xfId="1" quotePrefix="1" applyFont="1" applyBorder="1" applyAlignment="1" applyProtection="1">
      <alignment horizontal="left" vertical="center"/>
    </xf>
    <xf numFmtId="44" fontId="21" fillId="5" borderId="0" xfId="1" applyFont="1" applyFill="1" applyBorder="1" applyAlignment="1">
      <alignment vertical="center"/>
    </xf>
    <xf numFmtId="44" fontId="1" fillId="5" borderId="0" xfId="1" applyFont="1" applyFill="1" applyBorder="1" applyAlignment="1">
      <alignment vertical="center"/>
    </xf>
    <xf numFmtId="166" fontId="1" fillId="0" borderId="0" xfId="2" applyNumberFormat="1" applyFont="1" applyBorder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3" fontId="1" fillId="0" borderId="0" xfId="0" applyNumberFormat="1" applyFont="1" applyFill="1" applyAlignment="1" applyProtection="1">
      <alignment vertical="center"/>
    </xf>
    <xf numFmtId="44" fontId="1" fillId="0" borderId="0" xfId="1" applyFont="1" applyFill="1" applyAlignment="1" applyProtection="1">
      <alignment vertical="center"/>
    </xf>
    <xf numFmtId="0" fontId="1" fillId="0" borderId="0" xfId="0" applyFont="1" applyFill="1" applyAlignment="1" applyProtection="1">
      <alignment horizontal="left" vertical="center" indent="1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left" vertical="center" indent="2"/>
    </xf>
    <xf numFmtId="0" fontId="21" fillId="3" borderId="18" xfId="0" applyFont="1" applyFill="1" applyBorder="1" applyAlignment="1" applyProtection="1">
      <alignment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164" fontId="13" fillId="0" borderId="0" xfId="1" applyNumberFormat="1" applyFont="1" applyAlignment="1" applyProtection="1">
      <alignment horizontal="right" vertical="center" indent="4"/>
    </xf>
    <xf numFmtId="0" fontId="1" fillId="0" borderId="21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44" fontId="21" fillId="0" borderId="15" xfId="0" applyNumberFormat="1" applyFont="1" applyFill="1" applyBorder="1" applyAlignment="1" applyProtection="1">
      <alignment vertical="center"/>
    </xf>
    <xf numFmtId="0" fontId="0" fillId="8" borderId="0" xfId="0" applyFill="1" applyAlignment="1">
      <alignment horizontal="center"/>
    </xf>
    <xf numFmtId="10" fontId="0" fillId="8" borderId="0" xfId="2" applyNumberFormat="1" applyFont="1" applyFill="1" applyAlignment="1">
      <alignment horizontal="center"/>
    </xf>
    <xf numFmtId="164" fontId="21" fillId="5" borderId="0" xfId="0" applyNumberFormat="1" applyFont="1" applyFill="1" applyBorder="1" applyAlignment="1">
      <alignment vertic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65" fontId="0" fillId="0" borderId="0" xfId="0" applyNumberFormat="1" applyBorder="1"/>
    <xf numFmtId="0" fontId="21" fillId="0" borderId="0" xfId="0" applyFont="1" applyAlignment="1" applyProtection="1">
      <alignment vertical="center"/>
      <protection locked="0"/>
    </xf>
    <xf numFmtId="44" fontId="0" fillId="0" borderId="0" xfId="1" applyFont="1" applyBorder="1"/>
    <xf numFmtId="3" fontId="11" fillId="0" borderId="0" xfId="0" applyNumberFormat="1" applyFont="1" applyAlignment="1" applyProtection="1">
      <alignment horizontal="left" vertical="center"/>
    </xf>
    <xf numFmtId="44" fontId="1" fillId="0" borderId="0" xfId="0" applyNumberFormat="1" applyFont="1" applyAlignment="1" applyProtection="1">
      <alignment horizontal="center" vertical="center"/>
    </xf>
    <xf numFmtId="3" fontId="1" fillId="3" borderId="18" xfId="1" applyNumberFormat="1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vertical="center"/>
    </xf>
    <xf numFmtId="44" fontId="13" fillId="0" borderId="0" xfId="1" applyFont="1" applyAlignment="1" applyProtection="1">
      <alignment horizontal="center" vertical="center"/>
    </xf>
    <xf numFmtId="0" fontId="2" fillId="7" borderId="51" xfId="0" applyFont="1" applyFill="1" applyBorder="1" applyAlignment="1" applyProtection="1">
      <alignment horizontal="center"/>
    </xf>
    <xf numFmtId="0" fontId="2" fillId="7" borderId="39" xfId="0" applyFont="1" applyFill="1" applyBorder="1" applyAlignment="1" applyProtection="1">
      <alignment horizontal="center"/>
    </xf>
    <xf numFmtId="0" fontId="2" fillId="7" borderId="52" xfId="0" applyFont="1" applyFill="1" applyBorder="1" applyAlignment="1" applyProtection="1">
      <alignment horizontal="center"/>
    </xf>
    <xf numFmtId="44" fontId="3" fillId="0" borderId="20" xfId="1" applyFont="1" applyBorder="1" applyAlignment="1" applyProtection="1">
      <alignment horizontal="center" vertical="center"/>
    </xf>
    <xf numFmtId="44" fontId="3" fillId="0" borderId="1" xfId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8" fillId="7" borderId="0" xfId="0" applyFont="1" applyFill="1" applyAlignment="1" applyProtection="1">
      <alignment horizontal="center"/>
    </xf>
    <xf numFmtId="3" fontId="28" fillId="0" borderId="0" xfId="0" applyNumberFormat="1" applyFont="1" applyAlignment="1" applyProtection="1">
      <alignment horizontal="center" vertical="center"/>
    </xf>
    <xf numFmtId="44" fontId="2" fillId="0" borderId="17" xfId="1" applyFont="1" applyBorder="1" applyAlignment="1" applyProtection="1">
      <alignment horizontal="center" vertical="center"/>
    </xf>
    <xf numFmtId="44" fontId="2" fillId="0" borderId="18" xfId="1" applyFont="1" applyBorder="1" applyAlignment="1" applyProtection="1">
      <alignment horizontal="center" vertical="center"/>
    </xf>
    <xf numFmtId="44" fontId="8" fillId="3" borderId="53" xfId="1" applyFont="1" applyFill="1" applyBorder="1" applyAlignment="1" applyProtection="1">
      <alignment horizontal="left" vertical="center"/>
    </xf>
    <xf numFmtId="44" fontId="8" fillId="3" borderId="54" xfId="1" applyFont="1" applyFill="1" applyBorder="1" applyAlignment="1" applyProtection="1">
      <alignment horizontal="left" vertical="center"/>
    </xf>
    <xf numFmtId="44" fontId="8" fillId="3" borderId="55" xfId="1" applyFont="1" applyFill="1" applyBorder="1" applyAlignment="1" applyProtection="1">
      <alignment horizontal="left" vertical="center"/>
    </xf>
    <xf numFmtId="44" fontId="8" fillId="3" borderId="56" xfId="1" applyFont="1" applyFill="1" applyBorder="1" applyAlignment="1" applyProtection="1">
      <alignment horizontal="left" vertical="center"/>
    </xf>
    <xf numFmtId="44" fontId="13" fillId="0" borderId="0" xfId="1" applyFont="1" applyAlignment="1" applyProtection="1">
      <alignment horizontal="right" vertical="center"/>
    </xf>
    <xf numFmtId="0" fontId="2" fillId="7" borderId="8" xfId="0" applyFont="1" applyFill="1" applyBorder="1" applyAlignment="1" applyProtection="1">
      <alignment horizontal="center"/>
    </xf>
    <xf numFmtId="0" fontId="2" fillId="7" borderId="20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/>
    </xf>
    <xf numFmtId="0" fontId="2" fillId="0" borderId="48" xfId="0" applyFont="1" applyBorder="1" applyAlignment="1" applyProtection="1">
      <alignment horizontal="right" vertical="center"/>
    </xf>
    <xf numFmtId="0" fontId="2" fillId="0" borderId="49" xfId="0" applyFont="1" applyBorder="1" applyAlignment="1" applyProtection="1">
      <alignment horizontal="right" vertical="center"/>
    </xf>
    <xf numFmtId="0" fontId="2" fillId="0" borderId="50" xfId="0" applyFont="1" applyBorder="1" applyAlignment="1" applyProtection="1">
      <alignment horizontal="right" vertical="center"/>
    </xf>
    <xf numFmtId="44" fontId="3" fillId="0" borderId="8" xfId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3" fontId="27" fillId="6" borderId="8" xfId="0" applyNumberFormat="1" applyFont="1" applyFill="1" applyBorder="1" applyAlignment="1" applyProtection="1">
      <alignment horizontal="center" vertical="center"/>
    </xf>
    <xf numFmtId="3" fontId="27" fillId="6" borderId="20" xfId="0" applyNumberFormat="1" applyFont="1" applyFill="1" applyBorder="1" applyAlignment="1" applyProtection="1">
      <alignment horizontal="center" vertical="center"/>
    </xf>
    <xf numFmtId="3" fontId="27" fillId="6" borderId="1" xfId="0" applyNumberFormat="1" applyFont="1" applyFill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left" vertical="center"/>
    </xf>
    <xf numFmtId="44" fontId="2" fillId="0" borderId="9" xfId="1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right" vertical="center"/>
    </xf>
    <xf numFmtId="0" fontId="2" fillId="0" borderId="4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right" vertical="center" wrapText="1"/>
    </xf>
    <xf numFmtId="0" fontId="21" fillId="0" borderId="0" xfId="0" applyFont="1" applyAlignment="1" applyProtection="1">
      <alignment horizontal="right" vertical="center"/>
    </xf>
    <xf numFmtId="0" fontId="2" fillId="6" borderId="57" xfId="0" applyFont="1" applyFill="1" applyBorder="1" applyAlignment="1">
      <alignment horizontal="center" vertical="center"/>
    </xf>
    <xf numFmtId="0" fontId="2" fillId="6" borderId="58" xfId="0" applyFont="1" applyFill="1" applyBorder="1" applyAlignment="1">
      <alignment horizontal="center" vertical="center"/>
    </xf>
    <xf numFmtId="0" fontId="2" fillId="6" borderId="59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309"/>
  <sheetViews>
    <sheetView tabSelected="1" zoomScale="115" zoomScaleNormal="115" zoomScaleSheetLayoutView="100" workbookViewId="0">
      <selection activeCell="E21" sqref="E21"/>
    </sheetView>
  </sheetViews>
  <sheetFormatPr defaultRowHeight="12.75" x14ac:dyDescent="0.25"/>
  <cols>
    <col min="1" max="1" width="47.7109375" style="14" customWidth="1"/>
    <col min="2" max="2" width="11.42578125" style="121" customWidth="1"/>
    <col min="3" max="3" width="12.7109375" style="193" customWidth="1"/>
    <col min="4" max="4" width="7.7109375" style="193" customWidth="1"/>
    <col min="5" max="5" width="12.7109375" style="14" customWidth="1"/>
    <col min="6" max="6" width="22" style="14" customWidth="1"/>
    <col min="7" max="7" width="7.7109375" style="169" customWidth="1"/>
    <col min="8" max="8" width="13.42578125" style="169" hidden="1" customWidth="1"/>
    <col min="9" max="9" width="14.7109375" style="14" hidden="1" customWidth="1"/>
    <col min="10" max="10" width="11.28515625" style="14" hidden="1" customWidth="1"/>
    <col min="11" max="12" width="11.28515625" style="14" bestFit="1" customWidth="1"/>
    <col min="13" max="13" width="9.140625" style="14"/>
    <col min="14" max="14" width="9.140625" style="14" hidden="1" customWidth="1"/>
    <col min="15" max="16384" width="9.140625" style="14"/>
  </cols>
  <sheetData>
    <row r="1" spans="1:9" ht="15.75" x14ac:dyDescent="0.25">
      <c r="A1" s="281" t="s">
        <v>72</v>
      </c>
      <c r="B1" s="281"/>
      <c r="C1" s="281"/>
      <c r="D1" s="281"/>
      <c r="E1" s="281"/>
      <c r="F1" s="281"/>
      <c r="G1" s="12"/>
      <c r="H1" s="12"/>
      <c r="I1" s="13"/>
    </row>
    <row r="2" spans="1:9" ht="15.75" x14ac:dyDescent="0.25">
      <c r="A2" s="281" t="s">
        <v>257</v>
      </c>
      <c r="B2" s="281"/>
      <c r="C2" s="281"/>
      <c r="D2" s="281"/>
      <c r="E2" s="281"/>
      <c r="F2" s="281"/>
      <c r="G2" s="12"/>
      <c r="H2" s="12"/>
      <c r="I2" s="13"/>
    </row>
    <row r="3" spans="1:9" ht="15" customHeight="1" x14ac:dyDescent="0.25">
      <c r="A3" s="283" t="s">
        <v>312</v>
      </c>
      <c r="B3" s="283"/>
      <c r="C3" s="283"/>
      <c r="D3" s="283"/>
      <c r="E3" s="283"/>
      <c r="F3" s="283"/>
      <c r="G3" s="12"/>
      <c r="H3" s="12"/>
      <c r="I3" s="13"/>
    </row>
    <row r="4" spans="1:9" ht="18" x14ac:dyDescent="0.25">
      <c r="A4" s="282" t="s">
        <v>254</v>
      </c>
      <c r="B4" s="282"/>
      <c r="C4" s="282"/>
      <c r="D4" s="282"/>
      <c r="E4" s="282"/>
      <c r="F4" s="282"/>
      <c r="G4" s="12"/>
      <c r="H4" s="12"/>
      <c r="I4" s="13"/>
    </row>
    <row r="5" spans="1:9" ht="9.9499999999999993" customHeight="1" thickBot="1" x14ac:dyDescent="0.3">
      <c r="A5" s="17"/>
      <c r="B5" s="18"/>
      <c r="C5" s="19"/>
      <c r="D5" s="19"/>
      <c r="E5" s="32"/>
      <c r="F5" s="32"/>
      <c r="G5" s="12"/>
      <c r="H5" s="12"/>
      <c r="I5" s="13"/>
    </row>
    <row r="6" spans="1:9" ht="9.9499999999999993" customHeight="1" thickTop="1" x14ac:dyDescent="0.25">
      <c r="A6" s="13"/>
      <c r="B6" s="15"/>
      <c r="C6" s="16"/>
      <c r="D6" s="201" t="s">
        <v>258</v>
      </c>
      <c r="E6" s="286" t="s">
        <v>294</v>
      </c>
      <c r="F6" s="287"/>
      <c r="G6" s="12"/>
      <c r="H6" s="12"/>
      <c r="I6" s="13"/>
    </row>
    <row r="7" spans="1:9" ht="13.5" customHeight="1" thickBot="1" x14ac:dyDescent="0.3">
      <c r="A7" s="247" t="s">
        <v>232</v>
      </c>
      <c r="B7" s="248"/>
      <c r="C7" s="249"/>
      <c r="D7" s="249"/>
      <c r="E7" s="288"/>
      <c r="F7" s="289"/>
      <c r="G7" s="12"/>
      <c r="H7" s="12"/>
      <c r="I7" s="13"/>
    </row>
    <row r="8" spans="1:9" x14ac:dyDescent="0.25">
      <c r="A8" s="14" t="s">
        <v>297</v>
      </c>
      <c r="B8" s="248"/>
      <c r="C8" s="249"/>
      <c r="D8" s="249"/>
      <c r="E8" s="251"/>
      <c r="F8" s="251"/>
      <c r="G8" s="12"/>
      <c r="H8" s="12"/>
      <c r="I8" s="13"/>
    </row>
    <row r="9" spans="1:9" x14ac:dyDescent="0.25">
      <c r="A9" s="14" t="s">
        <v>296</v>
      </c>
      <c r="B9" s="248"/>
      <c r="C9" s="249"/>
      <c r="D9" s="249"/>
      <c r="E9" s="251"/>
      <c r="F9" s="251"/>
      <c r="G9" s="12"/>
      <c r="H9" s="12"/>
      <c r="I9" s="13"/>
    </row>
    <row r="10" spans="1:9" x14ac:dyDescent="0.25">
      <c r="A10" s="250" t="s">
        <v>308</v>
      </c>
      <c r="B10" s="248"/>
      <c r="C10" s="249"/>
      <c r="D10" s="249"/>
      <c r="E10" s="251"/>
      <c r="F10" s="251"/>
      <c r="G10" s="12"/>
      <c r="H10" s="12"/>
      <c r="I10" s="13"/>
    </row>
    <row r="11" spans="1:9" ht="9.9499999999999993" customHeight="1" x14ac:dyDescent="0.25">
      <c r="A11" s="250" t="s">
        <v>306</v>
      </c>
      <c r="B11" s="248"/>
      <c r="C11" s="249"/>
      <c r="D11" s="249"/>
      <c r="E11" s="251"/>
      <c r="F11" s="251"/>
      <c r="G11" s="12"/>
      <c r="H11" s="12"/>
      <c r="I11" s="13"/>
    </row>
    <row r="12" spans="1:9" x14ac:dyDescent="0.25">
      <c r="A12" s="247" t="s">
        <v>239</v>
      </c>
      <c r="B12" s="248"/>
      <c r="C12" s="249"/>
      <c r="D12" s="249"/>
      <c r="E12" s="251"/>
      <c r="F12" s="251"/>
      <c r="G12" s="12"/>
      <c r="H12" s="12"/>
      <c r="I12" s="13"/>
    </row>
    <row r="13" spans="1:9" x14ac:dyDescent="0.25">
      <c r="A13" s="250" t="s">
        <v>292</v>
      </c>
      <c r="B13" s="251"/>
      <c r="C13" s="251"/>
      <c r="D13" s="251"/>
      <c r="E13" s="251"/>
      <c r="F13" s="251"/>
      <c r="G13" s="12"/>
      <c r="H13" s="12"/>
      <c r="I13" s="13"/>
    </row>
    <row r="14" spans="1:9" x14ac:dyDescent="0.25">
      <c r="A14" s="250" t="s">
        <v>242</v>
      </c>
      <c r="B14" s="251"/>
      <c r="C14" s="251"/>
      <c r="D14" s="251"/>
      <c r="E14" s="251"/>
      <c r="F14" s="251"/>
      <c r="G14" s="12"/>
      <c r="H14" s="12"/>
      <c r="I14" s="13"/>
    </row>
    <row r="15" spans="1:9" x14ac:dyDescent="0.25">
      <c r="A15" s="252" t="s">
        <v>290</v>
      </c>
      <c r="B15" s="251"/>
      <c r="C15" s="251"/>
      <c r="D15" s="251"/>
      <c r="E15" s="251"/>
      <c r="F15" s="251"/>
      <c r="G15" s="12"/>
      <c r="H15" s="12"/>
      <c r="I15" s="13"/>
    </row>
    <row r="16" spans="1:9" x14ac:dyDescent="0.25">
      <c r="A16" s="250" t="s">
        <v>307</v>
      </c>
      <c r="B16" s="251"/>
      <c r="C16" s="251"/>
      <c r="D16" s="251"/>
      <c r="E16" s="251"/>
      <c r="F16" s="251"/>
      <c r="G16" s="12"/>
      <c r="H16" s="12"/>
      <c r="I16" s="13"/>
    </row>
    <row r="17" spans="1:14" x14ac:dyDescent="0.25">
      <c r="A17" s="252" t="s">
        <v>293</v>
      </c>
      <c r="B17" s="251"/>
      <c r="C17" s="251"/>
      <c r="D17" s="251"/>
      <c r="E17" s="251"/>
      <c r="F17" s="251"/>
      <c r="G17" s="12"/>
      <c r="H17" s="12"/>
      <c r="I17" s="13"/>
    </row>
    <row r="18" spans="1:14" x14ac:dyDescent="0.25">
      <c r="B18" s="251"/>
      <c r="C18" s="251"/>
      <c r="D18" s="251"/>
      <c r="E18" s="251"/>
      <c r="F18" s="251"/>
      <c r="G18" s="12"/>
      <c r="H18" s="12"/>
      <c r="I18" s="13"/>
    </row>
    <row r="19" spans="1:14" ht="9.9499999999999993" customHeight="1" thickBot="1" x14ac:dyDescent="0.3">
      <c r="A19" s="17"/>
      <c r="B19" s="18"/>
      <c r="C19" s="19"/>
      <c r="D19" s="19"/>
      <c r="E19" s="20"/>
      <c r="F19" s="20"/>
      <c r="G19" s="12"/>
      <c r="H19" s="12"/>
      <c r="I19" s="13"/>
    </row>
    <row r="20" spans="1:14" ht="9.9499999999999993" customHeight="1" thickTop="1" x14ac:dyDescent="0.25">
      <c r="A20" s="13"/>
      <c r="B20" s="15"/>
      <c r="C20" s="16"/>
      <c r="D20" s="16"/>
      <c r="E20" s="13"/>
      <c r="F20" s="13"/>
      <c r="G20" s="12"/>
      <c r="H20" s="12"/>
      <c r="I20" s="13"/>
    </row>
    <row r="21" spans="1:14" x14ac:dyDescent="0.25">
      <c r="A21" s="21" t="s">
        <v>73</v>
      </c>
      <c r="B21" s="22"/>
      <c r="C21" s="13"/>
      <c r="D21" s="23" t="s">
        <v>245</v>
      </c>
      <c r="E21" s="253"/>
      <c r="F21" s="254"/>
      <c r="G21" s="12"/>
      <c r="H21" s="12"/>
      <c r="I21" s="13"/>
    </row>
    <row r="22" spans="1:14" x14ac:dyDescent="0.25">
      <c r="A22" s="9"/>
      <c r="B22" s="21"/>
      <c r="C22" s="24"/>
      <c r="G22" s="12"/>
      <c r="H22" s="12"/>
      <c r="I22" s="13"/>
    </row>
    <row r="23" spans="1:14" ht="15" x14ac:dyDescent="0.25">
      <c r="A23" s="26" t="s">
        <v>215</v>
      </c>
      <c r="B23" s="21"/>
      <c r="C23" s="27"/>
      <c r="D23" s="25" t="s">
        <v>281</v>
      </c>
      <c r="E23" s="253"/>
      <c r="F23" s="253"/>
      <c r="G23" s="12"/>
      <c r="H23" s="12"/>
      <c r="I23" s="13"/>
    </row>
    <row r="24" spans="1:14" x14ac:dyDescent="0.25">
      <c r="A24" s="9"/>
      <c r="B24" s="21"/>
      <c r="C24" s="14"/>
      <c r="G24" s="12"/>
      <c r="H24" s="12"/>
      <c r="I24" s="13"/>
    </row>
    <row r="25" spans="1:14" x14ac:dyDescent="0.25">
      <c r="A25" s="26" t="s">
        <v>246</v>
      </c>
      <c r="B25" s="15"/>
      <c r="C25" s="16"/>
      <c r="D25" s="25" t="s">
        <v>279</v>
      </c>
      <c r="E25" s="253"/>
      <c r="F25" s="253"/>
      <c r="G25" s="12"/>
      <c r="H25" s="12"/>
      <c r="I25" s="13"/>
    </row>
    <row r="26" spans="1:14" x14ac:dyDescent="0.25">
      <c r="A26" s="9"/>
      <c r="B26" s="15"/>
      <c r="C26" s="16"/>
      <c r="D26" s="16"/>
      <c r="E26" s="23"/>
      <c r="F26" s="10"/>
      <c r="G26" s="12"/>
      <c r="H26" s="12"/>
      <c r="I26" s="13"/>
    </row>
    <row r="27" spans="1:14" x14ac:dyDescent="0.25">
      <c r="A27" s="26" t="s">
        <v>247</v>
      </c>
      <c r="B27" s="15"/>
      <c r="C27" s="16"/>
      <c r="D27" s="16"/>
      <c r="E27" s="23"/>
      <c r="F27" s="1"/>
      <c r="G27" s="12"/>
      <c r="H27" s="12"/>
      <c r="I27" s="13"/>
    </row>
    <row r="28" spans="1:14" x14ac:dyDescent="0.25">
      <c r="A28" s="9"/>
      <c r="B28" s="15"/>
      <c r="C28" s="16"/>
      <c r="D28" s="16"/>
      <c r="E28" s="23"/>
      <c r="F28" s="1"/>
      <c r="G28" s="12"/>
      <c r="H28" s="12"/>
      <c r="I28" s="13"/>
    </row>
    <row r="29" spans="1:14" x14ac:dyDescent="0.25">
      <c r="A29" s="26" t="s">
        <v>248</v>
      </c>
      <c r="B29" s="15"/>
      <c r="C29" s="16"/>
      <c r="D29" s="16"/>
      <c r="E29" s="23"/>
      <c r="F29" s="11"/>
      <c r="G29" s="12"/>
      <c r="H29" s="12"/>
      <c r="I29" s="13"/>
    </row>
    <row r="30" spans="1:14" x14ac:dyDescent="0.25">
      <c r="A30" s="28" t="s">
        <v>214</v>
      </c>
      <c r="B30" s="15"/>
      <c r="C30" s="16"/>
      <c r="D30" s="16"/>
      <c r="E30" s="23"/>
      <c r="F30" s="11"/>
      <c r="G30" s="12"/>
      <c r="H30" s="12"/>
      <c r="I30" s="13"/>
    </row>
    <row r="31" spans="1:14" x14ac:dyDescent="0.25">
      <c r="A31" s="13"/>
      <c r="B31" s="15"/>
      <c r="C31" s="21" t="s">
        <v>74</v>
      </c>
      <c r="D31" s="16"/>
      <c r="E31" s="13"/>
      <c r="F31" s="13"/>
      <c r="G31" s="12"/>
      <c r="H31" s="12"/>
      <c r="I31" s="13"/>
    </row>
    <row r="32" spans="1:14" x14ac:dyDescent="0.25">
      <c r="A32" s="13"/>
      <c r="B32" s="15"/>
      <c r="C32" s="29" t="s">
        <v>215</v>
      </c>
      <c r="D32" s="7"/>
      <c r="E32" s="8"/>
      <c r="F32" s="8"/>
      <c r="G32" s="12"/>
      <c r="H32" s="12"/>
      <c r="I32" s="13"/>
      <c r="N32" s="265" t="b">
        <v>0</v>
      </c>
    </row>
    <row r="33" spans="1:9" x14ac:dyDescent="0.25">
      <c r="A33" s="23" t="s">
        <v>304</v>
      </c>
      <c r="B33" s="269" t="s">
        <v>291</v>
      </c>
      <c r="C33" s="24"/>
      <c r="D33" s="30"/>
      <c r="E33" s="31"/>
      <c r="F33" s="31"/>
      <c r="G33" s="12"/>
      <c r="H33" s="12"/>
      <c r="I33" s="13"/>
    </row>
    <row r="34" spans="1:9" x14ac:dyDescent="0.25">
      <c r="A34" s="270" t="s">
        <v>303</v>
      </c>
      <c r="B34" s="15"/>
      <c r="C34" s="29" t="s">
        <v>216</v>
      </c>
      <c r="D34" s="7"/>
      <c r="E34" s="8"/>
      <c r="F34" s="8"/>
      <c r="G34" s="12"/>
      <c r="H34" s="12"/>
      <c r="I34" s="13"/>
    </row>
    <row r="35" spans="1:9" x14ac:dyDescent="0.25">
      <c r="A35" s="270" t="s">
        <v>305</v>
      </c>
      <c r="B35" s="15"/>
      <c r="C35" s="24"/>
      <c r="D35" s="30"/>
      <c r="E35" s="31"/>
      <c r="F35" s="31"/>
      <c r="G35" s="12"/>
      <c r="H35" s="12"/>
      <c r="I35" s="13"/>
    </row>
    <row r="36" spans="1:9" x14ac:dyDescent="0.25">
      <c r="A36" s="270" t="s">
        <v>302</v>
      </c>
      <c r="B36" s="15"/>
      <c r="C36" s="29" t="s">
        <v>217</v>
      </c>
      <c r="D36" s="7"/>
      <c r="E36" s="8"/>
      <c r="F36" s="8"/>
      <c r="G36" s="12"/>
      <c r="H36" s="12"/>
      <c r="I36" s="13"/>
    </row>
    <row r="37" spans="1:9" ht="9.9499999999999993" customHeight="1" thickBot="1" x14ac:dyDescent="0.3">
      <c r="A37" s="20"/>
      <c r="B37" s="18"/>
      <c r="C37" s="19"/>
      <c r="D37" s="19"/>
      <c r="E37" s="20"/>
      <c r="F37" s="20"/>
      <c r="G37" s="12"/>
      <c r="H37" s="12"/>
      <c r="I37" s="13"/>
    </row>
    <row r="38" spans="1:9" ht="9.9499999999999993" customHeight="1" thickTop="1" x14ac:dyDescent="0.25">
      <c r="A38" s="32"/>
      <c r="B38" s="33"/>
      <c r="C38" s="34"/>
      <c r="D38" s="34"/>
      <c r="E38" s="32"/>
      <c r="F38" s="32"/>
      <c r="G38" s="12"/>
      <c r="H38" s="12"/>
      <c r="I38" s="13"/>
    </row>
    <row r="39" spans="1:9" ht="15" x14ac:dyDescent="0.25">
      <c r="A39" s="35" t="s">
        <v>212</v>
      </c>
      <c r="B39" s="36"/>
      <c r="C39" s="37"/>
      <c r="D39" s="16"/>
      <c r="E39" s="13"/>
      <c r="F39" s="13"/>
      <c r="G39" s="12"/>
      <c r="H39" s="12"/>
      <c r="I39" s="13"/>
    </row>
    <row r="40" spans="1:9" ht="9.9499999999999993" customHeight="1" x14ac:dyDescent="0.25">
      <c r="A40" s="38"/>
      <c r="B40" s="37"/>
      <c r="C40" s="36"/>
      <c r="D40" s="39"/>
      <c r="E40" s="39"/>
      <c r="F40" s="13"/>
      <c r="G40" s="12"/>
      <c r="H40" s="12"/>
      <c r="I40" s="13"/>
    </row>
    <row r="41" spans="1:9" ht="15" x14ac:dyDescent="0.25">
      <c r="A41" s="40" t="s">
        <v>196</v>
      </c>
      <c r="B41" s="37"/>
      <c r="C41" s="36"/>
      <c r="D41" s="39"/>
      <c r="E41" s="39"/>
      <c r="F41" s="13"/>
      <c r="G41" s="12"/>
      <c r="H41" s="12"/>
      <c r="I41" s="13"/>
    </row>
    <row r="42" spans="1:9" ht="13.5" customHeight="1" x14ac:dyDescent="0.25">
      <c r="A42" s="41" t="s">
        <v>197</v>
      </c>
      <c r="B42" s="290">
        <f>F168</f>
        <v>0</v>
      </c>
      <c r="C42" s="290"/>
      <c r="D42" s="43" t="s">
        <v>42</v>
      </c>
      <c r="E42" s="44"/>
      <c r="F42" s="13"/>
      <c r="G42" s="12"/>
      <c r="H42" s="12"/>
      <c r="I42" s="13"/>
    </row>
    <row r="43" spans="1:9" ht="13.5" customHeight="1" x14ac:dyDescent="0.25">
      <c r="A43" s="41" t="s">
        <v>198</v>
      </c>
      <c r="B43" s="290">
        <f>F175</f>
        <v>0</v>
      </c>
      <c r="C43" s="290"/>
      <c r="D43" s="43" t="s">
        <v>43</v>
      </c>
      <c r="E43" s="44"/>
      <c r="F43" s="13"/>
      <c r="G43" s="12"/>
      <c r="H43" s="12"/>
      <c r="I43" s="13"/>
    </row>
    <row r="44" spans="1:9" ht="13.5" customHeight="1" x14ac:dyDescent="0.25">
      <c r="A44" s="41" t="s">
        <v>236</v>
      </c>
      <c r="B44" s="290">
        <f>F182</f>
        <v>0</v>
      </c>
      <c r="C44" s="290"/>
      <c r="D44" s="43" t="s">
        <v>200</v>
      </c>
      <c r="E44" s="44"/>
      <c r="F44" s="13"/>
      <c r="G44" s="12"/>
      <c r="H44" s="12"/>
      <c r="I44" s="13"/>
    </row>
    <row r="45" spans="1:9" ht="13.5" customHeight="1" x14ac:dyDescent="0.25">
      <c r="A45" s="41" t="s">
        <v>199</v>
      </c>
      <c r="B45" s="290">
        <f>F254</f>
        <v>0</v>
      </c>
      <c r="C45" s="290"/>
      <c r="D45" s="43" t="s">
        <v>45</v>
      </c>
      <c r="E45" s="44"/>
      <c r="F45" s="13"/>
      <c r="G45" s="12"/>
      <c r="H45" s="12"/>
      <c r="I45" s="13"/>
    </row>
    <row r="46" spans="1:9" ht="13.5" customHeight="1" x14ac:dyDescent="0.25">
      <c r="A46" s="41" t="s">
        <v>210</v>
      </c>
      <c r="B46" s="290">
        <f>F256</f>
        <v>0</v>
      </c>
      <c r="C46" s="290"/>
      <c r="D46" s="43" t="s">
        <v>201</v>
      </c>
      <c r="E46" s="44"/>
      <c r="F46" s="13"/>
      <c r="G46" s="12"/>
      <c r="H46" s="12"/>
      <c r="I46" s="13"/>
    </row>
    <row r="47" spans="1:9" ht="13.5" customHeight="1" x14ac:dyDescent="0.25">
      <c r="A47" s="38"/>
      <c r="B47" s="42"/>
      <c r="C47" s="45"/>
      <c r="D47" s="43"/>
      <c r="E47" s="44"/>
      <c r="F47" s="13"/>
      <c r="G47" s="12"/>
      <c r="H47" s="12"/>
      <c r="I47" s="13"/>
    </row>
    <row r="48" spans="1:9" ht="15" x14ac:dyDescent="0.25">
      <c r="A48" s="40" t="s">
        <v>202</v>
      </c>
      <c r="B48" s="42"/>
      <c r="C48" s="45"/>
      <c r="D48" s="43"/>
      <c r="E48" s="44"/>
      <c r="F48" s="13"/>
      <c r="G48" s="12"/>
      <c r="H48" s="12"/>
      <c r="I48" s="13"/>
    </row>
    <row r="49" spans="1:14" ht="13.5" customHeight="1" x14ac:dyDescent="0.25">
      <c r="A49" s="41" t="s">
        <v>203</v>
      </c>
      <c r="B49" s="271">
        <f>IFERROR(F266,0)</f>
        <v>0</v>
      </c>
      <c r="C49" s="271"/>
      <c r="D49" s="43" t="s">
        <v>51</v>
      </c>
      <c r="E49" s="44"/>
      <c r="F49" s="13"/>
      <c r="G49" s="12"/>
      <c r="H49" s="12"/>
      <c r="I49" s="13"/>
    </row>
    <row r="50" spans="1:14" ht="13.5" customHeight="1" x14ac:dyDescent="0.25">
      <c r="A50" s="41" t="s">
        <v>204</v>
      </c>
      <c r="B50" s="271">
        <f>B49/2</f>
        <v>0</v>
      </c>
      <c r="C50" s="271"/>
      <c r="D50" s="43" t="s">
        <v>211</v>
      </c>
      <c r="E50" s="44"/>
      <c r="F50" s="13"/>
      <c r="G50" s="12"/>
      <c r="H50" s="12"/>
      <c r="I50" s="13"/>
    </row>
    <row r="51" spans="1:14" ht="13.5" customHeight="1" x14ac:dyDescent="0.25">
      <c r="A51" s="41" t="s">
        <v>205</v>
      </c>
      <c r="B51" s="271">
        <f>F279</f>
        <v>0</v>
      </c>
      <c r="C51" s="271"/>
      <c r="D51" s="43" t="s">
        <v>56</v>
      </c>
      <c r="E51" s="44"/>
      <c r="F51" s="13"/>
      <c r="G51" s="12"/>
      <c r="H51" s="12"/>
      <c r="I51" s="13"/>
    </row>
    <row r="52" spans="1:14" ht="13.5" customHeight="1" x14ac:dyDescent="0.25">
      <c r="A52" s="41" t="s">
        <v>206</v>
      </c>
      <c r="B52" s="271">
        <f>B51/2</f>
        <v>0</v>
      </c>
      <c r="C52" s="271"/>
      <c r="D52" s="43" t="s">
        <v>207</v>
      </c>
      <c r="E52" s="44"/>
      <c r="F52" s="13"/>
      <c r="G52" s="12"/>
      <c r="H52" s="12"/>
      <c r="I52" s="13"/>
    </row>
    <row r="53" spans="1:14" ht="13.5" customHeight="1" x14ac:dyDescent="0.25">
      <c r="D53" s="43"/>
      <c r="E53" s="44"/>
      <c r="F53" s="13"/>
      <c r="G53" s="12"/>
      <c r="H53" s="12"/>
      <c r="I53" s="13"/>
    </row>
    <row r="54" spans="1:14" ht="15" customHeight="1" x14ac:dyDescent="0.25">
      <c r="A54" s="40" t="s">
        <v>244</v>
      </c>
      <c r="B54" s="255"/>
      <c r="C54" s="45"/>
      <c r="D54" s="43"/>
      <c r="E54" s="44"/>
      <c r="F54" s="13"/>
      <c r="G54" s="12"/>
      <c r="H54" s="12"/>
      <c r="I54" s="13"/>
    </row>
    <row r="55" spans="1:14" ht="13.5" customHeight="1" x14ac:dyDescent="0.25">
      <c r="A55" s="41" t="s">
        <v>197</v>
      </c>
      <c r="B55" s="271">
        <f>IF(F168=0,0,F285)</f>
        <v>0</v>
      </c>
      <c r="C55" s="271"/>
      <c r="D55" s="43" t="s">
        <v>68</v>
      </c>
      <c r="E55" s="44"/>
      <c r="F55" s="13"/>
      <c r="G55" s="12"/>
      <c r="H55" s="12"/>
      <c r="I55" s="13"/>
    </row>
    <row r="56" spans="1:14" ht="13.5" customHeight="1" x14ac:dyDescent="0.25">
      <c r="A56" s="41" t="s">
        <v>198</v>
      </c>
      <c r="B56" s="271">
        <f>IF(B174=0,0,tables!A64)</f>
        <v>0</v>
      </c>
      <c r="C56" s="271"/>
      <c r="D56" s="43"/>
      <c r="E56" s="267"/>
      <c r="F56" s="13"/>
      <c r="G56" s="12"/>
      <c r="H56" s="12"/>
      <c r="I56" s="13"/>
    </row>
    <row r="57" spans="1:14" ht="13.5" customHeight="1" x14ac:dyDescent="0.25">
      <c r="A57" s="41" t="s">
        <v>300</v>
      </c>
      <c r="B57" s="271">
        <f>IF(B46&gt;20000,B308,0)</f>
        <v>0</v>
      </c>
      <c r="C57" s="271"/>
      <c r="E57" s="46"/>
      <c r="F57" s="13"/>
      <c r="G57" s="12"/>
      <c r="H57" s="12"/>
      <c r="I57" s="13"/>
    </row>
    <row r="58" spans="1:14" ht="13.5" customHeight="1" x14ac:dyDescent="0.25">
      <c r="A58" s="41" t="s">
        <v>251</v>
      </c>
      <c r="B58" s="271">
        <f>IFERROR(0.1*(B55+B56),0)</f>
        <v>0</v>
      </c>
      <c r="C58" s="271"/>
      <c r="D58" s="43"/>
      <c r="E58" s="44"/>
      <c r="F58" s="13"/>
      <c r="G58" s="12"/>
      <c r="H58" s="12"/>
      <c r="I58" s="13"/>
      <c r="N58" s="138">
        <f>SUM(B55:C56)</f>
        <v>0</v>
      </c>
    </row>
    <row r="59" spans="1:14" ht="13.5" customHeight="1" x14ac:dyDescent="0.25">
      <c r="A59" s="41" t="s">
        <v>301</v>
      </c>
      <c r="B59" s="271">
        <f>IF(B33="Y",0.5*N58,0)</f>
        <v>0</v>
      </c>
      <c r="C59" s="271"/>
      <c r="D59" s="43"/>
      <c r="E59" s="44"/>
      <c r="F59" s="13"/>
      <c r="G59" s="12"/>
      <c r="H59" s="12"/>
      <c r="I59" s="13"/>
    </row>
    <row r="60" spans="1:14" ht="13.5" customHeight="1" x14ac:dyDescent="0.25">
      <c r="A60" s="41" t="s">
        <v>210</v>
      </c>
      <c r="B60" s="271">
        <f>B55+B56+B57+B58+B59</f>
        <v>0</v>
      </c>
      <c r="C60" s="271"/>
      <c r="D60" s="43"/>
      <c r="E60" s="44"/>
      <c r="F60" s="13"/>
      <c r="G60" s="12"/>
      <c r="H60" s="12"/>
      <c r="I60" s="13"/>
    </row>
    <row r="61" spans="1:14" ht="13.5" customHeight="1" x14ac:dyDescent="0.25">
      <c r="E61" s="44"/>
      <c r="F61" s="13"/>
      <c r="G61" s="12"/>
      <c r="H61" s="12"/>
      <c r="I61" s="13"/>
    </row>
    <row r="62" spans="1:14" ht="15" x14ac:dyDescent="0.25">
      <c r="A62" s="40" t="s">
        <v>235</v>
      </c>
      <c r="B62" s="42"/>
      <c r="C62" s="45"/>
      <c r="D62" s="43"/>
      <c r="E62" s="44"/>
      <c r="F62" s="13"/>
      <c r="G62" s="12"/>
      <c r="H62" s="12"/>
      <c r="I62" s="13"/>
    </row>
    <row r="63" spans="1:14" ht="15" customHeight="1" x14ac:dyDescent="0.25">
      <c r="A63" s="41" t="s">
        <v>208</v>
      </c>
      <c r="B63" s="271">
        <f>IFERROR(F265,0)</f>
        <v>0</v>
      </c>
      <c r="C63" s="271"/>
      <c r="D63" s="43" t="s">
        <v>49</v>
      </c>
      <c r="E63" s="44"/>
      <c r="F63" s="13"/>
      <c r="G63" s="12"/>
      <c r="H63" s="12"/>
      <c r="I63" s="13"/>
    </row>
    <row r="64" spans="1:14" ht="15" customHeight="1" x14ac:dyDescent="0.25">
      <c r="A64" s="41" t="s">
        <v>209</v>
      </c>
      <c r="B64" s="271">
        <f>IF(B60=0,0,B309)</f>
        <v>0</v>
      </c>
      <c r="C64" s="271"/>
      <c r="D64" s="43"/>
      <c r="E64" s="44"/>
      <c r="F64" s="13"/>
      <c r="G64" s="12"/>
      <c r="H64" s="12"/>
      <c r="I64" s="13"/>
    </row>
    <row r="65" spans="1:24" ht="15" customHeight="1" x14ac:dyDescent="0.25">
      <c r="A65" s="41" t="s">
        <v>210</v>
      </c>
      <c r="B65" s="271">
        <f>SUM(B63:C64)</f>
        <v>0</v>
      </c>
      <c r="C65" s="271"/>
      <c r="D65" s="43"/>
      <c r="E65" s="44"/>
      <c r="F65" s="13"/>
      <c r="G65" s="12"/>
      <c r="H65" s="12"/>
      <c r="I65" s="13"/>
    </row>
    <row r="66" spans="1:24" ht="13.5" customHeight="1" thickBot="1" x14ac:dyDescent="0.3">
      <c r="A66" s="20"/>
      <c r="B66" s="47"/>
      <c r="C66" s="19"/>
      <c r="D66" s="19"/>
      <c r="E66" s="20"/>
      <c r="F66" s="20"/>
      <c r="G66" s="12"/>
      <c r="H66" s="12"/>
      <c r="I66" s="13"/>
    </row>
    <row r="67" spans="1:24" ht="13.5" thickTop="1" x14ac:dyDescent="0.2">
      <c r="A67" s="272" t="s">
        <v>193</v>
      </c>
      <c r="B67" s="273"/>
      <c r="C67" s="273"/>
      <c r="D67" s="273"/>
      <c r="E67" s="273"/>
      <c r="F67" s="274"/>
      <c r="G67" s="12"/>
      <c r="H67" s="12"/>
      <c r="I67" s="13"/>
    </row>
    <row r="68" spans="1:24" x14ac:dyDescent="0.25">
      <c r="A68" s="48" t="s">
        <v>0</v>
      </c>
      <c r="B68" s="49" t="s">
        <v>1</v>
      </c>
      <c r="C68" s="275" t="s">
        <v>2</v>
      </c>
      <c r="D68" s="275"/>
      <c r="E68" s="276"/>
      <c r="F68" s="50" t="s">
        <v>3</v>
      </c>
      <c r="G68" s="12"/>
      <c r="H68" s="12"/>
      <c r="I68" s="13"/>
    </row>
    <row r="69" spans="1:24" x14ac:dyDescent="0.25">
      <c r="A69" s="51"/>
      <c r="B69" s="52"/>
      <c r="C69" s="284" t="s">
        <v>39</v>
      </c>
      <c r="D69" s="285"/>
      <c r="E69" s="53" t="s">
        <v>40</v>
      </c>
      <c r="F69" s="54"/>
      <c r="G69" s="12"/>
      <c r="H69" s="12"/>
      <c r="I69" s="13"/>
    </row>
    <row r="70" spans="1:24" x14ac:dyDescent="0.25">
      <c r="A70" s="55" t="s">
        <v>4</v>
      </c>
      <c r="B70" s="56"/>
      <c r="C70" s="57"/>
      <c r="D70" s="58"/>
      <c r="E70" s="58"/>
      <c r="F70" s="59"/>
      <c r="G70" s="12"/>
      <c r="H70" s="12"/>
      <c r="I70" s="13"/>
    </row>
    <row r="71" spans="1:24" x14ac:dyDescent="0.25">
      <c r="A71" s="4" t="s">
        <v>184</v>
      </c>
      <c r="B71" s="3"/>
      <c r="C71" s="5">
        <v>1.01</v>
      </c>
      <c r="D71" s="60" t="s">
        <v>36</v>
      </c>
      <c r="E71" s="5">
        <v>1.47</v>
      </c>
      <c r="F71" s="61">
        <f t="shared" ref="F71:F77" si="0">IF($B$257="Y",B71*E71,B71*C71)</f>
        <v>0</v>
      </c>
      <c r="G71" s="12"/>
      <c r="H71" s="268">
        <f>B71*C71</f>
        <v>0</v>
      </c>
      <c r="I71" s="62">
        <f>B71*E71</f>
        <v>0</v>
      </c>
      <c r="J71" s="34"/>
      <c r="K71" s="63"/>
      <c r="L71" s="34"/>
      <c r="M71" s="64"/>
    </row>
    <row r="72" spans="1:24" x14ac:dyDescent="0.25">
      <c r="A72" s="4" t="s">
        <v>185</v>
      </c>
      <c r="B72" s="3"/>
      <c r="C72" s="5">
        <v>1.5</v>
      </c>
      <c r="D72" s="60" t="s">
        <v>36</v>
      </c>
      <c r="E72" s="5">
        <v>1.89</v>
      </c>
      <c r="F72" s="61">
        <f t="shared" si="0"/>
        <v>0</v>
      </c>
      <c r="G72" s="12"/>
      <c r="H72" s="268">
        <f t="shared" ref="H72:H135" si="1">B72*C72</f>
        <v>0</v>
      </c>
      <c r="I72" s="62">
        <f t="shared" ref="I72:I135" si="2">B72*E72</f>
        <v>0</v>
      </c>
      <c r="J72" s="34"/>
      <c r="K72" s="63"/>
      <c r="L72" s="34"/>
      <c r="M72" s="64"/>
    </row>
    <row r="73" spans="1:24" x14ac:dyDescent="0.25">
      <c r="A73" s="4" t="s">
        <v>186</v>
      </c>
      <c r="B73" s="3"/>
      <c r="C73" s="5">
        <v>1.93</v>
      </c>
      <c r="D73" s="60" t="s">
        <v>36</v>
      </c>
      <c r="E73" s="5">
        <v>2.3199999999999998</v>
      </c>
      <c r="F73" s="61">
        <f t="shared" si="0"/>
        <v>0</v>
      </c>
      <c r="G73" s="12"/>
      <c r="H73" s="268">
        <f t="shared" si="1"/>
        <v>0</v>
      </c>
      <c r="I73" s="62">
        <f t="shared" si="2"/>
        <v>0</v>
      </c>
      <c r="J73" s="34"/>
      <c r="K73" s="63"/>
      <c r="L73" s="34"/>
      <c r="M73" s="64"/>
    </row>
    <row r="74" spans="1:24" x14ac:dyDescent="0.25">
      <c r="A74" s="4" t="s">
        <v>187</v>
      </c>
      <c r="B74" s="3"/>
      <c r="C74" s="5">
        <v>2.58</v>
      </c>
      <c r="D74" s="60" t="s">
        <v>36</v>
      </c>
      <c r="E74" s="5">
        <v>3.15</v>
      </c>
      <c r="F74" s="61">
        <f t="shared" si="0"/>
        <v>0</v>
      </c>
      <c r="G74" s="12"/>
      <c r="H74" s="268">
        <f t="shared" si="1"/>
        <v>0</v>
      </c>
      <c r="I74" s="62">
        <f t="shared" si="2"/>
        <v>0</v>
      </c>
      <c r="J74" s="34"/>
      <c r="K74" s="63"/>
      <c r="L74" s="34"/>
      <c r="M74" s="64"/>
    </row>
    <row r="75" spans="1:24" x14ac:dyDescent="0.25">
      <c r="A75" s="4" t="s">
        <v>255</v>
      </c>
      <c r="B75" s="3"/>
      <c r="C75" s="5">
        <v>3.86</v>
      </c>
      <c r="D75" s="60" t="s">
        <v>36</v>
      </c>
      <c r="E75" s="5">
        <v>5.0199999999999996</v>
      </c>
      <c r="F75" s="61">
        <f t="shared" si="0"/>
        <v>0</v>
      </c>
      <c r="G75" s="12"/>
      <c r="H75" s="268">
        <f t="shared" si="1"/>
        <v>0</v>
      </c>
      <c r="I75" s="62">
        <f t="shared" si="2"/>
        <v>0</v>
      </c>
      <c r="J75" s="34"/>
      <c r="K75" s="63"/>
      <c r="L75" s="34"/>
      <c r="M75" s="64"/>
    </row>
    <row r="76" spans="1:24" x14ac:dyDescent="0.25">
      <c r="A76" s="4" t="s">
        <v>75</v>
      </c>
      <c r="B76" s="3"/>
      <c r="C76" s="5">
        <v>3.09</v>
      </c>
      <c r="D76" s="60" t="s">
        <v>36</v>
      </c>
      <c r="E76" s="5">
        <v>4.3099999999999996</v>
      </c>
      <c r="F76" s="61">
        <f t="shared" si="0"/>
        <v>0</v>
      </c>
      <c r="G76" s="12"/>
      <c r="H76" s="268">
        <f t="shared" si="1"/>
        <v>0</v>
      </c>
      <c r="I76" s="62">
        <f t="shared" si="2"/>
        <v>0</v>
      </c>
      <c r="J76" s="34"/>
      <c r="K76" s="63"/>
      <c r="L76" s="34"/>
      <c r="M76" s="64"/>
    </row>
    <row r="77" spans="1:24" x14ac:dyDescent="0.25">
      <c r="A77" s="4" t="s">
        <v>76</v>
      </c>
      <c r="B77" s="3"/>
      <c r="C77" s="5">
        <v>1.08</v>
      </c>
      <c r="D77" s="60" t="s">
        <v>36</v>
      </c>
      <c r="E77" s="5">
        <v>1.85</v>
      </c>
      <c r="F77" s="61">
        <f t="shared" si="0"/>
        <v>0</v>
      </c>
      <c r="G77" s="12"/>
      <c r="H77" s="268">
        <f t="shared" si="1"/>
        <v>0</v>
      </c>
      <c r="I77" s="62">
        <f t="shared" si="2"/>
        <v>0</v>
      </c>
      <c r="J77" s="34"/>
      <c r="K77" s="63"/>
      <c r="L77" s="34"/>
      <c r="M77" s="64"/>
    </row>
    <row r="78" spans="1:24" x14ac:dyDescent="0.25">
      <c r="A78" s="51"/>
      <c r="B78" s="56"/>
      <c r="C78" s="34"/>
      <c r="D78" s="32"/>
      <c r="E78" s="32"/>
      <c r="F78" s="65"/>
      <c r="G78" s="12"/>
      <c r="H78" s="268">
        <f t="shared" si="1"/>
        <v>0</v>
      </c>
      <c r="I78" s="62">
        <f t="shared" si="2"/>
        <v>0</v>
      </c>
      <c r="J78" s="34"/>
      <c r="K78" s="63"/>
      <c r="L78" s="32"/>
      <c r="M78" s="64"/>
    </row>
    <row r="79" spans="1:24" x14ac:dyDescent="0.25">
      <c r="A79" s="55" t="s">
        <v>5</v>
      </c>
      <c r="B79" s="56"/>
      <c r="C79" s="34"/>
      <c r="D79" s="32"/>
      <c r="E79" s="32"/>
      <c r="F79" s="65"/>
      <c r="G79" s="12"/>
      <c r="H79" s="268">
        <f t="shared" si="1"/>
        <v>0</v>
      </c>
      <c r="I79" s="62">
        <f t="shared" si="2"/>
        <v>0</v>
      </c>
      <c r="J79" s="34"/>
      <c r="K79" s="63"/>
      <c r="L79" s="32"/>
      <c r="M79" s="64"/>
    </row>
    <row r="80" spans="1:24" x14ac:dyDescent="0.25">
      <c r="A80" s="4" t="s">
        <v>77</v>
      </c>
      <c r="B80" s="3"/>
      <c r="C80" s="5">
        <v>5.39</v>
      </c>
      <c r="D80" s="60" t="s">
        <v>36</v>
      </c>
      <c r="E80" s="66">
        <v>6.07</v>
      </c>
      <c r="F80" s="61">
        <f t="shared" ref="F80:F91" si="3">IF($B$257="Y",B80*E80,B80*C80)</f>
        <v>0</v>
      </c>
      <c r="G80" s="12"/>
      <c r="H80" s="268">
        <f t="shared" si="1"/>
        <v>0</v>
      </c>
      <c r="I80" s="62">
        <f t="shared" si="2"/>
        <v>0</v>
      </c>
      <c r="J80" s="34"/>
      <c r="K80" s="63"/>
      <c r="L80" s="34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</row>
    <row r="81" spans="1:24" x14ac:dyDescent="0.25">
      <c r="A81" s="4" t="s">
        <v>78</v>
      </c>
      <c r="B81" s="3"/>
      <c r="C81" s="5">
        <v>5.7</v>
      </c>
      <c r="D81" s="60" t="s">
        <v>36</v>
      </c>
      <c r="E81" s="66">
        <v>6.52</v>
      </c>
      <c r="F81" s="61">
        <f t="shared" si="3"/>
        <v>0</v>
      </c>
      <c r="G81" s="12"/>
      <c r="H81" s="268">
        <f t="shared" si="1"/>
        <v>0</v>
      </c>
      <c r="I81" s="62">
        <f t="shared" si="2"/>
        <v>0</v>
      </c>
      <c r="J81" s="34"/>
      <c r="K81" s="63"/>
      <c r="L81" s="34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</row>
    <row r="82" spans="1:24" x14ac:dyDescent="0.25">
      <c r="A82" s="4" t="s">
        <v>79</v>
      </c>
      <c r="B82" s="3"/>
      <c r="C82" s="5">
        <v>7.27</v>
      </c>
      <c r="D82" s="60" t="s">
        <v>36</v>
      </c>
      <c r="E82" s="66">
        <v>8.24</v>
      </c>
      <c r="F82" s="61">
        <f t="shared" si="3"/>
        <v>0</v>
      </c>
      <c r="G82" s="12"/>
      <c r="H82" s="268">
        <f t="shared" si="1"/>
        <v>0</v>
      </c>
      <c r="I82" s="62">
        <f t="shared" si="2"/>
        <v>0</v>
      </c>
      <c r="J82" s="34"/>
      <c r="K82" s="63"/>
      <c r="L82" s="34"/>
      <c r="M82" s="68"/>
      <c r="N82" s="67"/>
      <c r="O82" s="67"/>
      <c r="P82" s="68"/>
      <c r="Q82" s="67"/>
      <c r="R82" s="67"/>
      <c r="S82" s="68"/>
      <c r="T82" s="67"/>
      <c r="U82" s="67"/>
      <c r="V82" s="68"/>
      <c r="W82" s="67"/>
      <c r="X82" s="67"/>
    </row>
    <row r="83" spans="1:24" x14ac:dyDescent="0.25">
      <c r="A83" s="4" t="s">
        <v>81</v>
      </c>
      <c r="B83" s="3"/>
      <c r="C83" s="5">
        <v>5.63</v>
      </c>
      <c r="D83" s="60" t="s">
        <v>36</v>
      </c>
      <c r="E83" s="66">
        <v>6.52</v>
      </c>
      <c r="F83" s="61">
        <f t="shared" si="3"/>
        <v>0</v>
      </c>
      <c r="G83" s="12"/>
      <c r="H83" s="268">
        <f t="shared" si="1"/>
        <v>0</v>
      </c>
      <c r="I83" s="62">
        <f t="shared" si="2"/>
        <v>0</v>
      </c>
      <c r="J83" s="34"/>
      <c r="K83" s="63"/>
      <c r="L83" s="34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</row>
    <row r="84" spans="1:24" x14ac:dyDescent="0.25">
      <c r="A84" s="4" t="s">
        <v>80</v>
      </c>
      <c r="B84" s="3"/>
      <c r="C84" s="5">
        <v>4.6399999999999997</v>
      </c>
      <c r="D84" s="60" t="s">
        <v>36</v>
      </c>
      <c r="E84" s="66">
        <v>5.92</v>
      </c>
      <c r="F84" s="61">
        <f t="shared" si="3"/>
        <v>0</v>
      </c>
      <c r="G84" s="12"/>
      <c r="H84" s="268">
        <f t="shared" si="1"/>
        <v>0</v>
      </c>
      <c r="I84" s="62">
        <f t="shared" si="2"/>
        <v>0</v>
      </c>
      <c r="J84" s="34"/>
      <c r="K84" s="63"/>
      <c r="L84" s="34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</row>
    <row r="85" spans="1:24" x14ac:dyDescent="0.25">
      <c r="A85" s="4" t="s">
        <v>82</v>
      </c>
      <c r="B85" s="3"/>
      <c r="C85" s="5">
        <v>5.7</v>
      </c>
      <c r="D85" s="60" t="s">
        <v>36</v>
      </c>
      <c r="E85" s="66">
        <v>6.52</v>
      </c>
      <c r="F85" s="61">
        <f t="shared" si="3"/>
        <v>0</v>
      </c>
      <c r="G85" s="12"/>
      <c r="H85" s="268">
        <f t="shared" si="1"/>
        <v>0</v>
      </c>
      <c r="I85" s="62">
        <f t="shared" si="2"/>
        <v>0</v>
      </c>
      <c r="J85" s="34"/>
      <c r="K85" s="63"/>
      <c r="L85" s="34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</row>
    <row r="86" spans="1:24" x14ac:dyDescent="0.25">
      <c r="A86" s="4" t="s">
        <v>83</v>
      </c>
      <c r="B86" s="3"/>
      <c r="C86" s="5">
        <v>2344.96</v>
      </c>
      <c r="D86" s="60" t="s">
        <v>213</v>
      </c>
      <c r="E86" s="66">
        <v>2929.18</v>
      </c>
      <c r="F86" s="61">
        <f t="shared" si="3"/>
        <v>0</v>
      </c>
      <c r="G86" s="12"/>
      <c r="H86" s="268">
        <f t="shared" si="1"/>
        <v>0</v>
      </c>
      <c r="I86" s="62">
        <f t="shared" si="2"/>
        <v>0</v>
      </c>
      <c r="J86" s="34"/>
      <c r="K86" s="63"/>
      <c r="L86" s="34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</row>
    <row r="87" spans="1:24" x14ac:dyDescent="0.25">
      <c r="A87" s="4" t="s">
        <v>84</v>
      </c>
      <c r="B87" s="3"/>
      <c r="C87" s="5">
        <v>7.87</v>
      </c>
      <c r="D87" s="60" t="s">
        <v>36</v>
      </c>
      <c r="E87" s="66">
        <v>8.84</v>
      </c>
      <c r="F87" s="61">
        <f t="shared" si="3"/>
        <v>0</v>
      </c>
      <c r="G87" s="12"/>
      <c r="H87" s="268">
        <f t="shared" si="1"/>
        <v>0</v>
      </c>
      <c r="I87" s="62">
        <f t="shared" si="2"/>
        <v>0</v>
      </c>
      <c r="J87" s="34"/>
      <c r="K87" s="63"/>
      <c r="L87" s="34"/>
      <c r="M87" s="64"/>
    </row>
    <row r="88" spans="1:24" x14ac:dyDescent="0.25">
      <c r="A88" s="4" t="s">
        <v>85</v>
      </c>
      <c r="B88" s="3"/>
      <c r="C88" s="5">
        <v>12.35</v>
      </c>
      <c r="D88" s="60" t="s">
        <v>36</v>
      </c>
      <c r="E88" s="66">
        <v>20.82</v>
      </c>
      <c r="F88" s="61">
        <f t="shared" si="3"/>
        <v>0</v>
      </c>
      <c r="G88" s="12"/>
      <c r="H88" s="268">
        <f t="shared" si="1"/>
        <v>0</v>
      </c>
      <c r="I88" s="62">
        <f t="shared" si="2"/>
        <v>0</v>
      </c>
      <c r="J88" s="34"/>
      <c r="K88" s="63"/>
      <c r="L88" s="34"/>
      <c r="M88" s="64"/>
    </row>
    <row r="89" spans="1:24" x14ac:dyDescent="0.25">
      <c r="A89" s="4" t="s">
        <v>86</v>
      </c>
      <c r="B89" s="3"/>
      <c r="C89" s="5">
        <v>13.92</v>
      </c>
      <c r="D89" s="60" t="s">
        <v>36</v>
      </c>
      <c r="E89" s="66">
        <v>23.89</v>
      </c>
      <c r="F89" s="61">
        <f t="shared" si="3"/>
        <v>0</v>
      </c>
      <c r="G89" s="12"/>
      <c r="H89" s="268">
        <f t="shared" si="1"/>
        <v>0</v>
      </c>
      <c r="I89" s="62">
        <f t="shared" si="2"/>
        <v>0</v>
      </c>
      <c r="J89" s="34"/>
      <c r="K89" s="63"/>
      <c r="L89" s="34"/>
      <c r="M89" s="64"/>
    </row>
    <row r="90" spans="1:24" x14ac:dyDescent="0.25">
      <c r="A90" s="4" t="s">
        <v>87</v>
      </c>
      <c r="B90" s="3"/>
      <c r="C90" s="5">
        <v>5.39</v>
      </c>
      <c r="D90" s="60" t="s">
        <v>36</v>
      </c>
      <c r="E90" s="66">
        <v>6.23</v>
      </c>
      <c r="F90" s="61">
        <f t="shared" si="3"/>
        <v>0</v>
      </c>
      <c r="G90" s="12"/>
      <c r="H90" s="268">
        <f t="shared" si="1"/>
        <v>0</v>
      </c>
      <c r="I90" s="62">
        <f t="shared" si="2"/>
        <v>0</v>
      </c>
      <c r="J90" s="34"/>
      <c r="K90" s="63"/>
      <c r="L90" s="34"/>
      <c r="M90" s="64"/>
    </row>
    <row r="91" spans="1:24" x14ac:dyDescent="0.25">
      <c r="A91" s="4" t="s">
        <v>88</v>
      </c>
      <c r="B91" s="3"/>
      <c r="C91" s="5">
        <v>925.96</v>
      </c>
      <c r="D91" s="60" t="s">
        <v>37</v>
      </c>
      <c r="E91" s="66">
        <v>1048.81</v>
      </c>
      <c r="F91" s="61">
        <f t="shared" si="3"/>
        <v>0</v>
      </c>
      <c r="G91" s="12"/>
      <c r="H91" s="268">
        <f t="shared" si="1"/>
        <v>0</v>
      </c>
      <c r="I91" s="62">
        <f t="shared" si="2"/>
        <v>0</v>
      </c>
      <c r="J91" s="34"/>
      <c r="K91" s="63"/>
      <c r="L91" s="34"/>
      <c r="M91" s="64"/>
    </row>
    <row r="92" spans="1:24" x14ac:dyDescent="0.25">
      <c r="A92" s="51"/>
      <c r="B92" s="56"/>
      <c r="C92" s="34"/>
      <c r="D92" s="32"/>
      <c r="E92" s="32"/>
      <c r="F92" s="65"/>
      <c r="G92" s="12"/>
      <c r="H92" s="268">
        <f t="shared" si="1"/>
        <v>0</v>
      </c>
      <c r="I92" s="62">
        <f t="shared" si="2"/>
        <v>0</v>
      </c>
      <c r="J92" s="34"/>
      <c r="K92" s="63"/>
      <c r="L92" s="32"/>
      <c r="M92" s="64"/>
    </row>
    <row r="93" spans="1:24" x14ac:dyDescent="0.25">
      <c r="A93" s="70" t="s">
        <v>6</v>
      </c>
      <c r="B93" s="56"/>
      <c r="C93" s="34"/>
      <c r="D93" s="32"/>
      <c r="E93" s="32"/>
      <c r="F93" s="65"/>
      <c r="G93" s="12"/>
      <c r="H93" s="268">
        <f t="shared" si="1"/>
        <v>0</v>
      </c>
      <c r="I93" s="62">
        <f t="shared" si="2"/>
        <v>0</v>
      </c>
      <c r="J93" s="34"/>
      <c r="K93" s="63"/>
      <c r="L93" s="32"/>
      <c r="M93" s="64"/>
    </row>
    <row r="94" spans="1:24" x14ac:dyDescent="0.25">
      <c r="A94" s="4" t="s">
        <v>89</v>
      </c>
      <c r="B94" s="3"/>
      <c r="C94" s="5">
        <v>21.73</v>
      </c>
      <c r="D94" s="60" t="s">
        <v>38</v>
      </c>
      <c r="E94" s="5">
        <v>26.97</v>
      </c>
      <c r="F94" s="61">
        <f t="shared" ref="F94:F101" si="4">IF($B$257="Y",B94*E94,B94*C94)</f>
        <v>0</v>
      </c>
      <c r="G94" s="12"/>
      <c r="H94" s="268">
        <f t="shared" si="1"/>
        <v>0</v>
      </c>
      <c r="I94" s="62">
        <f t="shared" si="2"/>
        <v>0</v>
      </c>
      <c r="J94" s="34"/>
      <c r="K94" s="63"/>
      <c r="L94" s="34"/>
      <c r="M94" s="64"/>
    </row>
    <row r="95" spans="1:24" x14ac:dyDescent="0.25">
      <c r="A95" s="4" t="s">
        <v>90</v>
      </c>
      <c r="B95" s="3"/>
      <c r="C95" s="5">
        <v>20.22</v>
      </c>
      <c r="D95" s="60" t="s">
        <v>38</v>
      </c>
      <c r="E95" s="5">
        <v>25.47</v>
      </c>
      <c r="F95" s="61">
        <f t="shared" si="4"/>
        <v>0</v>
      </c>
      <c r="G95" s="12"/>
      <c r="H95" s="268">
        <f t="shared" si="1"/>
        <v>0</v>
      </c>
      <c r="I95" s="62">
        <f t="shared" si="2"/>
        <v>0</v>
      </c>
      <c r="J95" s="34"/>
      <c r="K95" s="63"/>
      <c r="L95" s="34"/>
      <c r="M95" s="64"/>
    </row>
    <row r="96" spans="1:24" x14ac:dyDescent="0.25">
      <c r="A96" s="4" t="s">
        <v>91</v>
      </c>
      <c r="B96" s="3"/>
      <c r="C96" s="5">
        <v>21.73</v>
      </c>
      <c r="D96" s="60" t="s">
        <v>38</v>
      </c>
      <c r="E96" s="5">
        <v>26.97</v>
      </c>
      <c r="F96" s="61">
        <f t="shared" si="4"/>
        <v>0</v>
      </c>
      <c r="G96" s="12"/>
      <c r="H96" s="268">
        <f t="shared" si="1"/>
        <v>0</v>
      </c>
      <c r="I96" s="62">
        <f t="shared" si="2"/>
        <v>0</v>
      </c>
      <c r="J96" s="34"/>
      <c r="K96" s="63"/>
      <c r="L96" s="34"/>
      <c r="M96" s="64"/>
    </row>
    <row r="97" spans="1:13" x14ac:dyDescent="0.25">
      <c r="A97" s="4" t="s">
        <v>92</v>
      </c>
      <c r="B97" s="3"/>
      <c r="C97" s="5">
        <v>18.73</v>
      </c>
      <c r="D97" s="60" t="s">
        <v>38</v>
      </c>
      <c r="E97" s="5">
        <v>23.22</v>
      </c>
      <c r="F97" s="61">
        <f t="shared" si="4"/>
        <v>0</v>
      </c>
      <c r="G97" s="12"/>
      <c r="H97" s="268">
        <f t="shared" si="1"/>
        <v>0</v>
      </c>
      <c r="I97" s="62">
        <f t="shared" si="2"/>
        <v>0</v>
      </c>
      <c r="J97" s="34"/>
      <c r="K97" s="63"/>
      <c r="L97" s="34"/>
      <c r="M97" s="64"/>
    </row>
    <row r="98" spans="1:13" x14ac:dyDescent="0.25">
      <c r="A98" s="4" t="s">
        <v>93</v>
      </c>
      <c r="B98" s="3"/>
      <c r="C98" s="5">
        <v>20.22</v>
      </c>
      <c r="D98" s="60" t="s">
        <v>38</v>
      </c>
      <c r="E98" s="5">
        <v>25.47</v>
      </c>
      <c r="F98" s="61">
        <f t="shared" si="4"/>
        <v>0</v>
      </c>
      <c r="G98" s="12"/>
      <c r="H98" s="268">
        <f t="shared" si="1"/>
        <v>0</v>
      </c>
      <c r="I98" s="62">
        <f t="shared" si="2"/>
        <v>0</v>
      </c>
      <c r="J98" s="34"/>
      <c r="K98" s="63"/>
      <c r="L98" s="34"/>
      <c r="M98" s="64"/>
    </row>
    <row r="99" spans="1:13" x14ac:dyDescent="0.25">
      <c r="A99" s="4" t="s">
        <v>94</v>
      </c>
      <c r="B99" s="3"/>
      <c r="C99" s="5">
        <v>18.73</v>
      </c>
      <c r="D99" s="60" t="s">
        <v>38</v>
      </c>
      <c r="E99" s="5">
        <v>23.22</v>
      </c>
      <c r="F99" s="61">
        <f t="shared" si="4"/>
        <v>0</v>
      </c>
      <c r="G99" s="12"/>
      <c r="H99" s="268">
        <f t="shared" si="1"/>
        <v>0</v>
      </c>
      <c r="I99" s="62">
        <f t="shared" si="2"/>
        <v>0</v>
      </c>
      <c r="J99" s="34"/>
      <c r="K99" s="63"/>
      <c r="L99" s="34"/>
      <c r="M99" s="64"/>
    </row>
    <row r="100" spans="1:13" x14ac:dyDescent="0.25">
      <c r="A100" s="4" t="s">
        <v>95</v>
      </c>
      <c r="B100" s="3"/>
      <c r="C100" s="5">
        <v>18.73</v>
      </c>
      <c r="D100" s="60" t="s">
        <v>38</v>
      </c>
      <c r="E100" s="5">
        <v>23.22</v>
      </c>
      <c r="F100" s="61">
        <f t="shared" si="4"/>
        <v>0</v>
      </c>
      <c r="G100" s="12"/>
      <c r="H100" s="268">
        <f t="shared" si="1"/>
        <v>0</v>
      </c>
      <c r="I100" s="62">
        <f t="shared" si="2"/>
        <v>0</v>
      </c>
      <c r="J100" s="34"/>
      <c r="K100" s="63"/>
      <c r="L100" s="34"/>
      <c r="M100" s="64"/>
    </row>
    <row r="101" spans="1:13" x14ac:dyDescent="0.25">
      <c r="A101" s="4" t="s">
        <v>96</v>
      </c>
      <c r="B101" s="3"/>
      <c r="C101" s="5">
        <v>18.73</v>
      </c>
      <c r="D101" s="60" t="s">
        <v>38</v>
      </c>
      <c r="E101" s="5">
        <v>23.22</v>
      </c>
      <c r="F101" s="61">
        <f t="shared" si="4"/>
        <v>0</v>
      </c>
      <c r="G101" s="12"/>
      <c r="H101" s="268">
        <f t="shared" si="1"/>
        <v>0</v>
      </c>
      <c r="I101" s="62">
        <f t="shared" si="2"/>
        <v>0</v>
      </c>
      <c r="J101" s="34"/>
      <c r="K101" s="63"/>
      <c r="L101" s="34"/>
      <c r="M101" s="64"/>
    </row>
    <row r="102" spans="1:13" x14ac:dyDescent="0.25">
      <c r="A102" s="51"/>
      <c r="B102" s="56"/>
      <c r="C102" s="34"/>
      <c r="D102" s="32"/>
      <c r="E102" s="32"/>
      <c r="F102" s="65"/>
      <c r="G102" s="12"/>
      <c r="H102" s="268">
        <f t="shared" si="1"/>
        <v>0</v>
      </c>
      <c r="I102" s="62">
        <f t="shared" si="2"/>
        <v>0</v>
      </c>
      <c r="J102" s="34"/>
      <c r="K102" s="63"/>
      <c r="L102" s="32"/>
      <c r="M102" s="64"/>
    </row>
    <row r="103" spans="1:13" x14ac:dyDescent="0.25">
      <c r="A103" s="55" t="s">
        <v>7</v>
      </c>
      <c r="B103" s="56"/>
      <c r="C103" s="34"/>
      <c r="D103" s="32"/>
      <c r="E103" s="32"/>
      <c r="F103" s="65"/>
      <c r="G103" s="12"/>
      <c r="H103" s="268">
        <f t="shared" si="1"/>
        <v>0</v>
      </c>
      <c r="I103" s="62">
        <f t="shared" si="2"/>
        <v>0</v>
      </c>
      <c r="J103" s="34"/>
      <c r="K103" s="63"/>
      <c r="L103" s="32"/>
      <c r="M103" s="64"/>
    </row>
    <row r="104" spans="1:13" x14ac:dyDescent="0.25">
      <c r="A104" s="4" t="s">
        <v>97</v>
      </c>
      <c r="B104" s="3"/>
      <c r="C104" s="5">
        <v>771.63</v>
      </c>
      <c r="D104" s="60" t="s">
        <v>213</v>
      </c>
      <c r="E104" s="5">
        <v>771.63</v>
      </c>
      <c r="F104" s="61">
        <f t="shared" ref="F104:F124" si="5">IF($B$257="Y",B104*E104,B104*C104)</f>
        <v>0</v>
      </c>
      <c r="G104" s="12"/>
      <c r="H104" s="268">
        <f t="shared" si="1"/>
        <v>0</v>
      </c>
      <c r="I104" s="62">
        <f t="shared" si="2"/>
        <v>0</v>
      </c>
      <c r="J104" s="34"/>
      <c r="K104" s="63"/>
      <c r="L104" s="34"/>
      <c r="M104" s="64"/>
    </row>
    <row r="105" spans="1:13" x14ac:dyDescent="0.25">
      <c r="A105" s="4" t="s">
        <v>98</v>
      </c>
      <c r="B105" s="3"/>
      <c r="C105" s="5">
        <v>116.12</v>
      </c>
      <c r="D105" s="60" t="s">
        <v>37</v>
      </c>
      <c r="E105" s="5">
        <v>116.12</v>
      </c>
      <c r="F105" s="61">
        <f t="shared" si="5"/>
        <v>0</v>
      </c>
      <c r="G105" s="12"/>
      <c r="H105" s="268">
        <f t="shared" si="1"/>
        <v>0</v>
      </c>
      <c r="I105" s="62">
        <f t="shared" si="2"/>
        <v>0</v>
      </c>
      <c r="J105" s="34"/>
      <c r="K105" s="63"/>
      <c r="L105" s="34"/>
      <c r="M105" s="64"/>
    </row>
    <row r="106" spans="1:13" x14ac:dyDescent="0.25">
      <c r="A106" s="4" t="s">
        <v>99</v>
      </c>
      <c r="B106" s="3"/>
      <c r="C106" s="5">
        <v>116.12</v>
      </c>
      <c r="D106" s="60" t="s">
        <v>37</v>
      </c>
      <c r="E106" s="5">
        <v>116.12</v>
      </c>
      <c r="F106" s="61">
        <f t="shared" si="5"/>
        <v>0</v>
      </c>
      <c r="G106" s="12"/>
      <c r="H106" s="268">
        <f t="shared" si="1"/>
        <v>0</v>
      </c>
      <c r="I106" s="62">
        <f t="shared" si="2"/>
        <v>0</v>
      </c>
      <c r="J106" s="34"/>
      <c r="K106" s="63"/>
      <c r="L106" s="34"/>
      <c r="M106" s="64"/>
    </row>
    <row r="107" spans="1:13" x14ac:dyDescent="0.25">
      <c r="A107" s="4" t="s">
        <v>100</v>
      </c>
      <c r="B107" s="3"/>
      <c r="C107" s="5">
        <v>3.14</v>
      </c>
      <c r="D107" s="60" t="s">
        <v>38</v>
      </c>
      <c r="E107" s="5">
        <v>3.91</v>
      </c>
      <c r="F107" s="258">
        <f t="shared" si="5"/>
        <v>0</v>
      </c>
      <c r="G107" s="12"/>
      <c r="H107" s="268">
        <f t="shared" si="1"/>
        <v>0</v>
      </c>
      <c r="I107" s="62">
        <f t="shared" si="2"/>
        <v>0</v>
      </c>
      <c r="J107" s="34"/>
      <c r="K107" s="63"/>
      <c r="L107" s="34"/>
      <c r="M107" s="64"/>
    </row>
    <row r="108" spans="1:13" x14ac:dyDescent="0.25">
      <c r="A108" s="4" t="s">
        <v>101</v>
      </c>
      <c r="B108" s="3"/>
      <c r="C108" s="5">
        <v>462.96</v>
      </c>
      <c r="D108" s="60" t="s">
        <v>37</v>
      </c>
      <c r="E108" s="5">
        <v>462.96</v>
      </c>
      <c r="F108" s="61">
        <f t="shared" si="5"/>
        <v>0</v>
      </c>
      <c r="G108" s="12"/>
      <c r="H108" s="268">
        <f t="shared" si="1"/>
        <v>0</v>
      </c>
      <c r="I108" s="62">
        <f t="shared" si="2"/>
        <v>0</v>
      </c>
      <c r="J108" s="34"/>
      <c r="K108" s="63"/>
      <c r="L108" s="34"/>
      <c r="M108" s="64"/>
    </row>
    <row r="109" spans="1:13" x14ac:dyDescent="0.25">
      <c r="A109" s="4" t="s">
        <v>102</v>
      </c>
      <c r="B109" s="3"/>
      <c r="C109" s="5">
        <v>771.63</v>
      </c>
      <c r="D109" s="60" t="s">
        <v>37</v>
      </c>
      <c r="E109" s="5">
        <v>771.63</v>
      </c>
      <c r="F109" s="61">
        <f t="shared" si="5"/>
        <v>0</v>
      </c>
      <c r="G109" s="12"/>
      <c r="H109" s="268">
        <f t="shared" si="1"/>
        <v>0</v>
      </c>
      <c r="I109" s="62">
        <f t="shared" si="2"/>
        <v>0</v>
      </c>
      <c r="J109" s="34"/>
      <c r="K109" s="63"/>
      <c r="L109" s="34"/>
      <c r="M109" s="64"/>
    </row>
    <row r="110" spans="1:13" ht="12.75" customHeight="1" x14ac:dyDescent="0.25">
      <c r="A110" s="4" t="s">
        <v>103</v>
      </c>
      <c r="B110" s="3"/>
      <c r="C110" s="5">
        <v>77.17</v>
      </c>
      <c r="D110" s="60" t="s">
        <v>37</v>
      </c>
      <c r="E110" s="5">
        <v>92.89</v>
      </c>
      <c r="F110" s="61">
        <f t="shared" si="5"/>
        <v>0</v>
      </c>
      <c r="G110" s="12"/>
      <c r="H110" s="268">
        <f t="shared" si="1"/>
        <v>0</v>
      </c>
      <c r="I110" s="62">
        <f t="shared" si="2"/>
        <v>0</v>
      </c>
      <c r="J110" s="34"/>
      <c r="K110" s="63"/>
      <c r="L110" s="34"/>
      <c r="M110" s="64"/>
    </row>
    <row r="111" spans="1:13" ht="12.75" customHeight="1" x14ac:dyDescent="0.25">
      <c r="A111" s="4" t="s">
        <v>104</v>
      </c>
      <c r="B111" s="3"/>
      <c r="C111" s="5">
        <v>77.17</v>
      </c>
      <c r="D111" s="60" t="s">
        <v>37</v>
      </c>
      <c r="E111" s="5">
        <v>92.89</v>
      </c>
      <c r="F111" s="61">
        <f t="shared" si="5"/>
        <v>0</v>
      </c>
      <c r="G111" s="12"/>
      <c r="H111" s="268">
        <f t="shared" si="1"/>
        <v>0</v>
      </c>
      <c r="I111" s="62">
        <f t="shared" si="2"/>
        <v>0</v>
      </c>
      <c r="J111" s="34"/>
      <c r="K111" s="63"/>
      <c r="L111" s="34"/>
      <c r="M111" s="64"/>
    </row>
    <row r="112" spans="1:13" ht="12.75" customHeight="1" x14ac:dyDescent="0.25">
      <c r="A112" s="4" t="s">
        <v>105</v>
      </c>
      <c r="B112" s="3"/>
      <c r="C112" s="5">
        <v>65.180000000000007</v>
      </c>
      <c r="D112" s="60" t="s">
        <v>37</v>
      </c>
      <c r="E112" s="5">
        <v>77.91</v>
      </c>
      <c r="F112" s="61">
        <f t="shared" si="5"/>
        <v>0</v>
      </c>
      <c r="G112" s="12"/>
      <c r="H112" s="268">
        <f t="shared" si="1"/>
        <v>0</v>
      </c>
      <c r="I112" s="62">
        <f t="shared" si="2"/>
        <v>0</v>
      </c>
      <c r="J112" s="34"/>
      <c r="K112" s="63"/>
      <c r="L112" s="34"/>
      <c r="M112" s="64"/>
    </row>
    <row r="113" spans="1:13" ht="12.75" customHeight="1" x14ac:dyDescent="0.25">
      <c r="A113" s="4" t="s">
        <v>106</v>
      </c>
      <c r="B113" s="3"/>
      <c r="C113" s="5">
        <v>15.73</v>
      </c>
      <c r="D113" s="60" t="s">
        <v>38</v>
      </c>
      <c r="E113" s="5">
        <v>18.73</v>
      </c>
      <c r="F113" s="61">
        <f t="shared" si="5"/>
        <v>0</v>
      </c>
      <c r="G113" s="12"/>
      <c r="H113" s="268">
        <f t="shared" si="1"/>
        <v>0</v>
      </c>
      <c r="I113" s="62">
        <f t="shared" si="2"/>
        <v>0</v>
      </c>
      <c r="J113" s="34"/>
      <c r="K113" s="63"/>
      <c r="L113" s="34"/>
      <c r="M113" s="64"/>
    </row>
    <row r="114" spans="1:13" ht="12.75" customHeight="1" x14ac:dyDescent="0.25">
      <c r="A114" s="4" t="s">
        <v>107</v>
      </c>
      <c r="B114" s="3"/>
      <c r="C114" s="5">
        <v>232.23</v>
      </c>
      <c r="D114" s="60" t="s">
        <v>37</v>
      </c>
      <c r="E114" s="5">
        <v>314.64</v>
      </c>
      <c r="F114" s="61">
        <f t="shared" si="5"/>
        <v>0</v>
      </c>
      <c r="G114" s="12"/>
      <c r="H114" s="268">
        <f t="shared" si="1"/>
        <v>0</v>
      </c>
      <c r="I114" s="62">
        <f t="shared" si="2"/>
        <v>0</v>
      </c>
      <c r="J114" s="34"/>
      <c r="K114" s="63"/>
      <c r="L114" s="34"/>
      <c r="M114" s="64"/>
    </row>
    <row r="115" spans="1:13" ht="12.75" customHeight="1" x14ac:dyDescent="0.25">
      <c r="A115" s="4" t="s">
        <v>108</v>
      </c>
      <c r="B115" s="3"/>
      <c r="C115" s="5">
        <v>4.6399999999999997</v>
      </c>
      <c r="D115" s="60" t="s">
        <v>36</v>
      </c>
      <c r="E115" s="5">
        <v>6.3</v>
      </c>
      <c r="F115" s="61">
        <f t="shared" si="5"/>
        <v>0</v>
      </c>
      <c r="G115" s="12"/>
      <c r="H115" s="268">
        <f t="shared" si="1"/>
        <v>0</v>
      </c>
      <c r="I115" s="62">
        <f t="shared" si="2"/>
        <v>0</v>
      </c>
      <c r="J115" s="34"/>
      <c r="K115" s="63"/>
      <c r="L115" s="34"/>
      <c r="M115" s="64"/>
    </row>
    <row r="116" spans="1:13" ht="12.75" customHeight="1" x14ac:dyDescent="0.25">
      <c r="A116" s="4" t="s">
        <v>109</v>
      </c>
      <c r="B116" s="3"/>
      <c r="C116" s="5">
        <v>65.180000000000007</v>
      </c>
      <c r="D116" s="60" t="s">
        <v>38</v>
      </c>
      <c r="E116" s="5">
        <v>69.67</v>
      </c>
      <c r="F116" s="61">
        <f t="shared" si="5"/>
        <v>0</v>
      </c>
      <c r="G116" s="12"/>
      <c r="H116" s="268">
        <f t="shared" si="1"/>
        <v>0</v>
      </c>
      <c r="I116" s="62">
        <f t="shared" si="2"/>
        <v>0</v>
      </c>
      <c r="J116" s="34"/>
      <c r="K116" s="63"/>
      <c r="L116" s="34"/>
      <c r="M116" s="64"/>
    </row>
    <row r="117" spans="1:13" ht="12.75" customHeight="1" x14ac:dyDescent="0.25">
      <c r="A117" s="4" t="s">
        <v>110</v>
      </c>
      <c r="B117" s="3"/>
      <c r="C117" s="5">
        <v>18.73</v>
      </c>
      <c r="D117" s="60" t="s">
        <v>213</v>
      </c>
      <c r="E117" s="5">
        <v>23.22</v>
      </c>
      <c r="F117" s="61">
        <f t="shared" si="5"/>
        <v>0</v>
      </c>
      <c r="G117" s="12"/>
      <c r="H117" s="268">
        <f t="shared" si="1"/>
        <v>0</v>
      </c>
      <c r="I117" s="62">
        <f t="shared" si="2"/>
        <v>0</v>
      </c>
      <c r="J117" s="34"/>
      <c r="K117" s="63"/>
      <c r="L117" s="34"/>
      <c r="M117" s="64"/>
    </row>
    <row r="118" spans="1:13" ht="12.75" customHeight="1" x14ac:dyDescent="0.25">
      <c r="A118" s="4" t="s">
        <v>111</v>
      </c>
      <c r="B118" s="3"/>
      <c r="C118" s="5">
        <v>23.22</v>
      </c>
      <c r="D118" s="60" t="s">
        <v>38</v>
      </c>
      <c r="E118" s="5">
        <v>30.87</v>
      </c>
      <c r="F118" s="61">
        <f t="shared" si="5"/>
        <v>0</v>
      </c>
      <c r="G118" s="12"/>
      <c r="H118" s="268">
        <f t="shared" si="1"/>
        <v>0</v>
      </c>
      <c r="I118" s="62">
        <f t="shared" si="2"/>
        <v>0</v>
      </c>
      <c r="J118" s="34"/>
      <c r="K118" s="63"/>
      <c r="L118" s="34"/>
      <c r="M118" s="64"/>
    </row>
    <row r="119" spans="1:13" ht="12.75" customHeight="1" x14ac:dyDescent="0.25">
      <c r="A119" s="4" t="s">
        <v>112</v>
      </c>
      <c r="B119" s="3"/>
      <c r="C119" s="5">
        <v>30.09</v>
      </c>
      <c r="D119" s="60" t="s">
        <v>38</v>
      </c>
      <c r="E119" s="5">
        <v>41.95</v>
      </c>
      <c r="F119" s="61">
        <f t="shared" si="5"/>
        <v>0</v>
      </c>
      <c r="G119" s="12"/>
      <c r="H119" s="268">
        <f t="shared" si="1"/>
        <v>0</v>
      </c>
      <c r="I119" s="62">
        <f t="shared" si="2"/>
        <v>0</v>
      </c>
      <c r="J119" s="34"/>
      <c r="K119" s="63"/>
      <c r="L119" s="34"/>
      <c r="M119" s="64"/>
    </row>
    <row r="120" spans="1:13" ht="12.75" customHeight="1" x14ac:dyDescent="0.25">
      <c r="A120" s="4" t="s">
        <v>221</v>
      </c>
      <c r="B120" s="3"/>
      <c r="C120" s="5">
        <v>663.75</v>
      </c>
      <c r="D120" s="60" t="s">
        <v>213</v>
      </c>
      <c r="E120" s="5">
        <v>803.09</v>
      </c>
      <c r="F120" s="61">
        <f t="shared" si="5"/>
        <v>0</v>
      </c>
      <c r="G120" s="12"/>
      <c r="H120" s="268">
        <f t="shared" si="1"/>
        <v>0</v>
      </c>
      <c r="I120" s="62">
        <f t="shared" si="2"/>
        <v>0</v>
      </c>
      <c r="J120" s="34"/>
      <c r="K120" s="63"/>
      <c r="L120" s="34"/>
      <c r="M120" s="64"/>
    </row>
    <row r="121" spans="1:13" x14ac:dyDescent="0.25">
      <c r="A121" s="4" t="s">
        <v>113</v>
      </c>
      <c r="B121" s="3"/>
      <c r="C121" s="5">
        <v>602.30999999999995</v>
      </c>
      <c r="D121" s="60" t="s">
        <v>213</v>
      </c>
      <c r="E121" s="5">
        <v>710.19</v>
      </c>
      <c r="F121" s="61">
        <f t="shared" si="5"/>
        <v>0</v>
      </c>
      <c r="G121" s="12"/>
      <c r="H121" s="268">
        <f t="shared" si="1"/>
        <v>0</v>
      </c>
      <c r="I121" s="62">
        <f t="shared" si="2"/>
        <v>0</v>
      </c>
      <c r="J121" s="34"/>
      <c r="K121" s="63"/>
      <c r="L121" s="34"/>
      <c r="M121" s="64"/>
    </row>
    <row r="122" spans="1:13" x14ac:dyDescent="0.25">
      <c r="A122" s="4" t="s">
        <v>114</v>
      </c>
      <c r="B122" s="3"/>
      <c r="C122" s="5">
        <v>139.35</v>
      </c>
      <c r="D122" s="60" t="s">
        <v>213</v>
      </c>
      <c r="E122" s="5">
        <v>154.33000000000001</v>
      </c>
      <c r="F122" s="61">
        <f t="shared" si="5"/>
        <v>0</v>
      </c>
      <c r="G122" s="12"/>
      <c r="H122" s="268">
        <f t="shared" si="1"/>
        <v>0</v>
      </c>
      <c r="I122" s="62">
        <f t="shared" si="2"/>
        <v>0</v>
      </c>
      <c r="J122" s="34"/>
      <c r="K122" s="63"/>
      <c r="L122" s="34"/>
      <c r="M122" s="64"/>
    </row>
    <row r="123" spans="1:13" x14ac:dyDescent="0.25">
      <c r="A123" s="4" t="s">
        <v>115</v>
      </c>
      <c r="B123" s="3"/>
      <c r="C123" s="5">
        <v>1156.69</v>
      </c>
      <c r="D123" s="60" t="s">
        <v>213</v>
      </c>
      <c r="E123" s="5">
        <v>1156.69</v>
      </c>
      <c r="F123" s="61">
        <f t="shared" si="5"/>
        <v>0</v>
      </c>
      <c r="G123" s="12"/>
      <c r="H123" s="268">
        <f t="shared" si="1"/>
        <v>0</v>
      </c>
      <c r="I123" s="62">
        <f t="shared" si="2"/>
        <v>0</v>
      </c>
      <c r="J123" s="34"/>
      <c r="K123" s="63"/>
      <c r="L123" s="34"/>
      <c r="M123" s="64"/>
    </row>
    <row r="124" spans="1:13" x14ac:dyDescent="0.25">
      <c r="A124" s="4" t="s">
        <v>116</v>
      </c>
      <c r="B124" s="3"/>
      <c r="C124" s="5">
        <v>2159.0500000000002</v>
      </c>
      <c r="D124" s="60" t="s">
        <v>213</v>
      </c>
      <c r="E124" s="5">
        <v>2159.0500000000002</v>
      </c>
      <c r="F124" s="61">
        <f t="shared" si="5"/>
        <v>0</v>
      </c>
      <c r="G124" s="12"/>
      <c r="H124" s="268">
        <f t="shared" si="1"/>
        <v>0</v>
      </c>
      <c r="I124" s="62">
        <f t="shared" si="2"/>
        <v>0</v>
      </c>
      <c r="J124" s="34"/>
      <c r="K124" s="63"/>
      <c r="L124" s="34"/>
      <c r="M124" s="64"/>
    </row>
    <row r="125" spans="1:13" x14ac:dyDescent="0.25">
      <c r="A125" s="4" t="s">
        <v>222</v>
      </c>
      <c r="B125" s="3"/>
      <c r="C125" s="5"/>
      <c r="D125" s="60"/>
      <c r="E125" s="5"/>
      <c r="F125" s="61">
        <f>B125</f>
        <v>0</v>
      </c>
      <c r="G125" s="12"/>
      <c r="H125" s="268">
        <f t="shared" si="1"/>
        <v>0</v>
      </c>
      <c r="I125" s="62">
        <f t="shared" si="2"/>
        <v>0</v>
      </c>
      <c r="J125" s="34"/>
      <c r="K125" s="63"/>
      <c r="L125" s="34"/>
      <c r="M125" s="64"/>
    </row>
    <row r="126" spans="1:13" ht="15" customHeight="1" x14ac:dyDescent="0.25">
      <c r="A126" s="195"/>
      <c r="B126" s="72"/>
      <c r="C126" s="73"/>
      <c r="D126" s="73"/>
      <c r="E126" s="71"/>
      <c r="F126" s="196"/>
      <c r="G126" s="12"/>
      <c r="H126" s="268">
        <f t="shared" si="1"/>
        <v>0</v>
      </c>
      <c r="I126" s="62">
        <f t="shared" si="2"/>
        <v>0</v>
      </c>
      <c r="J126" s="34"/>
      <c r="K126" s="63"/>
      <c r="L126" s="34"/>
      <c r="M126" s="64"/>
    </row>
    <row r="127" spans="1:13" hidden="1" x14ac:dyDescent="0.25">
      <c r="A127" s="54" t="s">
        <v>8</v>
      </c>
      <c r="B127" s="74"/>
      <c r="C127" s="75"/>
      <c r="D127" s="76"/>
      <c r="E127" s="77"/>
      <c r="F127" s="78"/>
      <c r="G127" s="12"/>
      <c r="H127" s="268">
        <f t="shared" si="1"/>
        <v>0</v>
      </c>
      <c r="I127" s="62">
        <f t="shared" si="2"/>
        <v>0</v>
      </c>
      <c r="J127" s="34"/>
      <c r="K127" s="63"/>
      <c r="L127" s="32"/>
      <c r="M127" s="64"/>
    </row>
    <row r="128" spans="1:13" hidden="1" x14ac:dyDescent="0.25">
      <c r="A128" s="79" t="s">
        <v>9</v>
      </c>
      <c r="B128" s="80"/>
      <c r="C128" s="81"/>
      <c r="D128" s="82"/>
      <c r="E128" s="83"/>
      <c r="F128" s="84"/>
      <c r="G128" s="12"/>
      <c r="H128" s="268">
        <f t="shared" si="1"/>
        <v>0</v>
      </c>
      <c r="I128" s="62">
        <f t="shared" si="2"/>
        <v>0</v>
      </c>
      <c r="J128" s="34"/>
      <c r="K128" s="63"/>
      <c r="L128" s="32"/>
      <c r="M128" s="64"/>
    </row>
    <row r="129" spans="1:13" hidden="1" x14ac:dyDescent="0.25">
      <c r="A129" s="79" t="s">
        <v>10</v>
      </c>
      <c r="B129" s="85"/>
      <c r="C129" s="81">
        <v>105</v>
      </c>
      <c r="D129" s="82"/>
      <c r="E129" s="83"/>
      <c r="F129" s="84">
        <f t="shared" ref="F129:F134" si="6">B129*C129</f>
        <v>0</v>
      </c>
      <c r="G129" s="12"/>
      <c r="H129" s="268">
        <f t="shared" si="1"/>
        <v>0</v>
      </c>
      <c r="I129" s="62">
        <f t="shared" si="2"/>
        <v>0</v>
      </c>
      <c r="J129" s="34"/>
      <c r="K129" s="63"/>
      <c r="L129" s="32"/>
      <c r="M129" s="64"/>
    </row>
    <row r="130" spans="1:13" hidden="1" x14ac:dyDescent="0.25">
      <c r="A130" s="79" t="s">
        <v>11</v>
      </c>
      <c r="B130" s="85"/>
      <c r="C130" s="81">
        <v>99</v>
      </c>
      <c r="D130" s="82"/>
      <c r="E130" s="83"/>
      <c r="F130" s="84">
        <f t="shared" si="6"/>
        <v>0</v>
      </c>
      <c r="G130" s="12"/>
      <c r="H130" s="268">
        <f t="shared" si="1"/>
        <v>0</v>
      </c>
      <c r="I130" s="62">
        <f t="shared" si="2"/>
        <v>0</v>
      </c>
      <c r="J130" s="34"/>
      <c r="K130" s="63"/>
      <c r="L130" s="32"/>
      <c r="M130" s="64"/>
    </row>
    <row r="131" spans="1:13" hidden="1" x14ac:dyDescent="0.25">
      <c r="A131" s="79" t="s">
        <v>12</v>
      </c>
      <c r="B131" s="85"/>
      <c r="C131" s="81">
        <v>96</v>
      </c>
      <c r="D131" s="82"/>
      <c r="E131" s="83"/>
      <c r="F131" s="84">
        <f t="shared" si="6"/>
        <v>0</v>
      </c>
      <c r="G131" s="12"/>
      <c r="H131" s="268">
        <f t="shared" si="1"/>
        <v>0</v>
      </c>
      <c r="I131" s="62">
        <f t="shared" si="2"/>
        <v>0</v>
      </c>
      <c r="J131" s="34"/>
      <c r="K131" s="63"/>
      <c r="L131" s="32"/>
      <c r="M131" s="64"/>
    </row>
    <row r="132" spans="1:13" hidden="1" x14ac:dyDescent="0.25">
      <c r="A132" s="79" t="s">
        <v>13</v>
      </c>
      <c r="B132" s="85"/>
      <c r="C132" s="81">
        <v>118</v>
      </c>
      <c r="D132" s="82"/>
      <c r="E132" s="83"/>
      <c r="F132" s="84">
        <f t="shared" si="6"/>
        <v>0</v>
      </c>
      <c r="G132" s="12"/>
      <c r="H132" s="268">
        <f t="shared" si="1"/>
        <v>0</v>
      </c>
      <c r="I132" s="62">
        <f t="shared" si="2"/>
        <v>0</v>
      </c>
      <c r="J132" s="34"/>
      <c r="K132" s="63"/>
      <c r="L132" s="32"/>
      <c r="M132" s="64"/>
    </row>
    <row r="133" spans="1:13" hidden="1" x14ac:dyDescent="0.25">
      <c r="A133" s="79" t="s">
        <v>14</v>
      </c>
      <c r="B133" s="85"/>
      <c r="C133" s="81">
        <v>112</v>
      </c>
      <c r="D133" s="82"/>
      <c r="E133" s="83"/>
      <c r="F133" s="84">
        <f t="shared" si="6"/>
        <v>0</v>
      </c>
      <c r="G133" s="12"/>
      <c r="H133" s="268">
        <f t="shared" si="1"/>
        <v>0</v>
      </c>
      <c r="I133" s="62">
        <f t="shared" si="2"/>
        <v>0</v>
      </c>
      <c r="J133" s="34"/>
      <c r="K133" s="63"/>
      <c r="L133" s="32"/>
      <c r="M133" s="64"/>
    </row>
    <row r="134" spans="1:13" hidden="1" x14ac:dyDescent="0.25">
      <c r="A134" s="79" t="s">
        <v>15</v>
      </c>
      <c r="B134" s="85"/>
      <c r="C134" s="81">
        <v>109</v>
      </c>
      <c r="D134" s="82"/>
      <c r="E134" s="83"/>
      <c r="F134" s="84">
        <f t="shared" si="6"/>
        <v>0</v>
      </c>
      <c r="G134" s="12"/>
      <c r="H134" s="268">
        <f t="shared" si="1"/>
        <v>0</v>
      </c>
      <c r="I134" s="62">
        <f t="shared" si="2"/>
        <v>0</v>
      </c>
      <c r="J134" s="34"/>
      <c r="K134" s="63"/>
      <c r="L134" s="32"/>
      <c r="M134" s="64"/>
    </row>
    <row r="135" spans="1:13" hidden="1" x14ac:dyDescent="0.25">
      <c r="A135" s="79" t="s">
        <v>16</v>
      </c>
      <c r="B135" s="80"/>
      <c r="C135" s="81"/>
      <c r="D135" s="82"/>
      <c r="E135" s="83"/>
      <c r="F135" s="84"/>
      <c r="G135" s="12"/>
      <c r="H135" s="268">
        <f t="shared" si="1"/>
        <v>0</v>
      </c>
      <c r="I135" s="62">
        <f t="shared" si="2"/>
        <v>0</v>
      </c>
      <c r="J135" s="34"/>
      <c r="K135" s="63"/>
      <c r="L135" s="32"/>
      <c r="M135" s="64"/>
    </row>
    <row r="136" spans="1:13" hidden="1" x14ac:dyDescent="0.25">
      <c r="A136" s="79" t="s">
        <v>17</v>
      </c>
      <c r="B136" s="85"/>
      <c r="C136" s="81">
        <v>57</v>
      </c>
      <c r="D136" s="82"/>
      <c r="E136" s="83"/>
      <c r="F136" s="84">
        <f t="shared" ref="F136:F144" si="7">B136*C136</f>
        <v>0</v>
      </c>
      <c r="G136" s="12"/>
      <c r="H136" s="268">
        <f t="shared" ref="H136:H199" si="8">B136*C136</f>
        <v>0</v>
      </c>
      <c r="I136" s="62">
        <f t="shared" ref="I136:I167" si="9">B136*E136</f>
        <v>0</v>
      </c>
      <c r="J136" s="34"/>
      <c r="K136" s="63"/>
      <c r="L136" s="32"/>
      <c r="M136" s="64"/>
    </row>
    <row r="137" spans="1:13" hidden="1" x14ac:dyDescent="0.25">
      <c r="A137" s="79" t="s">
        <v>18</v>
      </c>
      <c r="B137" s="85"/>
      <c r="C137" s="81">
        <v>71</v>
      </c>
      <c r="D137" s="82"/>
      <c r="E137" s="83"/>
      <c r="F137" s="84">
        <f t="shared" si="7"/>
        <v>0</v>
      </c>
      <c r="G137" s="12"/>
      <c r="H137" s="268">
        <f t="shared" si="8"/>
        <v>0</v>
      </c>
      <c r="I137" s="62">
        <f t="shared" si="9"/>
        <v>0</v>
      </c>
      <c r="J137" s="34"/>
      <c r="K137" s="63"/>
      <c r="L137" s="32"/>
      <c r="M137" s="64"/>
    </row>
    <row r="138" spans="1:13" hidden="1" x14ac:dyDescent="0.25">
      <c r="A138" s="79" t="s">
        <v>19</v>
      </c>
      <c r="B138" s="85"/>
      <c r="C138" s="81">
        <v>48</v>
      </c>
      <c r="D138" s="82"/>
      <c r="E138" s="83"/>
      <c r="F138" s="84">
        <f t="shared" si="7"/>
        <v>0</v>
      </c>
      <c r="G138" s="12"/>
      <c r="H138" s="268">
        <f t="shared" si="8"/>
        <v>0</v>
      </c>
      <c r="I138" s="62">
        <f t="shared" si="9"/>
        <v>0</v>
      </c>
      <c r="J138" s="34"/>
      <c r="K138" s="63"/>
      <c r="L138" s="32"/>
      <c r="M138" s="64"/>
    </row>
    <row r="139" spans="1:13" hidden="1" x14ac:dyDescent="0.25">
      <c r="A139" s="79" t="s">
        <v>20</v>
      </c>
      <c r="B139" s="85"/>
      <c r="C139" s="81">
        <v>62</v>
      </c>
      <c r="D139" s="82"/>
      <c r="E139" s="83"/>
      <c r="F139" s="84">
        <f t="shared" si="7"/>
        <v>0</v>
      </c>
      <c r="G139" s="12"/>
      <c r="H139" s="268">
        <f t="shared" si="8"/>
        <v>0</v>
      </c>
      <c r="I139" s="62">
        <f t="shared" si="9"/>
        <v>0</v>
      </c>
      <c r="J139" s="34"/>
      <c r="K139" s="63"/>
      <c r="L139" s="32"/>
      <c r="M139" s="64"/>
    </row>
    <row r="140" spans="1:13" hidden="1" x14ac:dyDescent="0.25">
      <c r="A140" s="79" t="s">
        <v>21</v>
      </c>
      <c r="B140" s="85"/>
      <c r="C140" s="81">
        <v>12000</v>
      </c>
      <c r="D140" s="82"/>
      <c r="E140" s="83"/>
      <c r="F140" s="84">
        <f t="shared" si="7"/>
        <v>0</v>
      </c>
      <c r="G140" s="12"/>
      <c r="H140" s="268">
        <f t="shared" si="8"/>
        <v>0</v>
      </c>
      <c r="I140" s="62">
        <f t="shared" si="9"/>
        <v>0</v>
      </c>
      <c r="J140" s="34"/>
      <c r="K140" s="63"/>
      <c r="L140" s="32"/>
      <c r="M140" s="64"/>
    </row>
    <row r="141" spans="1:13" hidden="1" x14ac:dyDescent="0.25">
      <c r="A141" s="79" t="s">
        <v>22</v>
      </c>
      <c r="B141" s="85"/>
      <c r="C141" s="81">
        <v>15000</v>
      </c>
      <c r="D141" s="82"/>
      <c r="E141" s="83"/>
      <c r="F141" s="84">
        <f t="shared" si="7"/>
        <v>0</v>
      </c>
      <c r="G141" s="12"/>
      <c r="H141" s="268">
        <f t="shared" si="8"/>
        <v>0</v>
      </c>
      <c r="I141" s="62">
        <f t="shared" si="9"/>
        <v>0</v>
      </c>
      <c r="J141" s="34"/>
      <c r="K141" s="63"/>
      <c r="L141" s="32"/>
      <c r="M141" s="64"/>
    </row>
    <row r="142" spans="1:13" hidden="1" x14ac:dyDescent="0.25">
      <c r="A142" s="79" t="s">
        <v>23</v>
      </c>
      <c r="B142" s="85"/>
      <c r="C142" s="81">
        <v>22000</v>
      </c>
      <c r="D142" s="82"/>
      <c r="E142" s="83"/>
      <c r="F142" s="84">
        <f t="shared" si="7"/>
        <v>0</v>
      </c>
      <c r="G142" s="12"/>
      <c r="H142" s="268">
        <f t="shared" si="8"/>
        <v>0</v>
      </c>
      <c r="I142" s="62">
        <f t="shared" si="9"/>
        <v>0</v>
      </c>
      <c r="J142" s="34"/>
      <c r="K142" s="63"/>
      <c r="L142" s="32"/>
      <c r="M142" s="64"/>
    </row>
    <row r="143" spans="1:13" hidden="1" x14ac:dyDescent="0.25">
      <c r="A143" s="79" t="s">
        <v>24</v>
      </c>
      <c r="B143" s="85"/>
      <c r="C143" s="81">
        <v>4000</v>
      </c>
      <c r="D143" s="82"/>
      <c r="E143" s="83"/>
      <c r="F143" s="84">
        <f t="shared" si="7"/>
        <v>0</v>
      </c>
      <c r="G143" s="12"/>
      <c r="H143" s="268">
        <f t="shared" si="8"/>
        <v>0</v>
      </c>
      <c r="I143" s="62">
        <f t="shared" si="9"/>
        <v>0</v>
      </c>
      <c r="J143" s="34"/>
      <c r="K143" s="63"/>
      <c r="L143" s="32"/>
      <c r="M143" s="64"/>
    </row>
    <row r="144" spans="1:13" hidden="1" x14ac:dyDescent="0.25">
      <c r="A144" s="79" t="s">
        <v>25</v>
      </c>
      <c r="B144" s="85"/>
      <c r="C144" s="81">
        <v>1900</v>
      </c>
      <c r="D144" s="82"/>
      <c r="E144" s="83"/>
      <c r="F144" s="84">
        <f t="shared" si="7"/>
        <v>0</v>
      </c>
      <c r="G144" s="12"/>
      <c r="H144" s="268">
        <f t="shared" si="8"/>
        <v>0</v>
      </c>
      <c r="I144" s="62">
        <f t="shared" si="9"/>
        <v>0</v>
      </c>
      <c r="J144" s="34"/>
      <c r="K144" s="63"/>
      <c r="L144" s="32"/>
      <c r="M144" s="64"/>
    </row>
    <row r="145" spans="1:13" hidden="1" x14ac:dyDescent="0.25">
      <c r="A145" s="79" t="s">
        <v>26</v>
      </c>
      <c r="B145" s="80"/>
      <c r="C145" s="81"/>
      <c r="D145" s="82"/>
      <c r="E145" s="83"/>
      <c r="F145" s="84"/>
      <c r="G145" s="12"/>
      <c r="H145" s="268">
        <f t="shared" si="8"/>
        <v>0</v>
      </c>
      <c r="I145" s="62">
        <f t="shared" si="9"/>
        <v>0</v>
      </c>
      <c r="J145" s="34"/>
      <c r="K145" s="63"/>
      <c r="L145" s="32"/>
      <c r="M145" s="64"/>
    </row>
    <row r="146" spans="1:13" hidden="1" x14ac:dyDescent="0.25">
      <c r="A146" s="79" t="s">
        <v>27</v>
      </c>
      <c r="B146" s="85"/>
      <c r="C146" s="81">
        <v>8500</v>
      </c>
      <c r="D146" s="82"/>
      <c r="E146" s="83"/>
      <c r="F146" s="84">
        <f>B146*C146</f>
        <v>0</v>
      </c>
      <c r="G146" s="12"/>
      <c r="H146" s="268">
        <f t="shared" si="8"/>
        <v>0</v>
      </c>
      <c r="I146" s="62">
        <f t="shared" si="9"/>
        <v>0</v>
      </c>
      <c r="J146" s="34"/>
      <c r="K146" s="63"/>
      <c r="L146" s="32"/>
      <c r="M146" s="64"/>
    </row>
    <row r="147" spans="1:13" hidden="1" x14ac:dyDescent="0.25">
      <c r="A147" s="86" t="s">
        <v>28</v>
      </c>
      <c r="B147" s="87"/>
      <c r="C147" s="88">
        <v>5500</v>
      </c>
      <c r="D147" s="89"/>
      <c r="E147" s="90"/>
      <c r="F147" s="91">
        <f>B147*C147</f>
        <v>0</v>
      </c>
      <c r="G147" s="12"/>
      <c r="H147" s="268">
        <f t="shared" si="8"/>
        <v>0</v>
      </c>
      <c r="I147" s="62">
        <f t="shared" si="9"/>
        <v>0</v>
      </c>
      <c r="J147" s="34"/>
      <c r="K147" s="63"/>
      <c r="L147" s="32"/>
      <c r="M147" s="64"/>
    </row>
    <row r="148" spans="1:13" x14ac:dyDescent="0.25">
      <c r="A148" s="55" t="s">
        <v>29</v>
      </c>
      <c r="B148" s="56"/>
      <c r="C148" s="34"/>
      <c r="D148" s="34"/>
      <c r="E148" s="32"/>
      <c r="F148" s="65"/>
      <c r="G148" s="12"/>
      <c r="H148" s="268">
        <f t="shared" si="8"/>
        <v>0</v>
      </c>
      <c r="I148" s="62">
        <f t="shared" si="9"/>
        <v>0</v>
      </c>
      <c r="J148" s="34"/>
      <c r="K148" s="63"/>
      <c r="L148" s="32"/>
      <c r="M148" s="64"/>
    </row>
    <row r="149" spans="1:13" x14ac:dyDescent="0.25">
      <c r="A149" s="4" t="s">
        <v>117</v>
      </c>
      <c r="B149" s="3"/>
      <c r="C149" s="5">
        <v>1543.25</v>
      </c>
      <c r="D149" s="60" t="s">
        <v>213</v>
      </c>
      <c r="E149" s="5">
        <v>1543.25</v>
      </c>
      <c r="F149" s="61">
        <f>IF($B$257="Y",B149*E149,B149*C149)</f>
        <v>0</v>
      </c>
      <c r="G149" s="12"/>
      <c r="H149" s="268">
        <f t="shared" si="8"/>
        <v>0</v>
      </c>
      <c r="I149" s="62">
        <f t="shared" si="9"/>
        <v>0</v>
      </c>
      <c r="J149" s="34"/>
      <c r="K149" s="63"/>
      <c r="L149" s="34"/>
      <c r="M149" s="64"/>
    </row>
    <row r="150" spans="1:13" x14ac:dyDescent="0.25">
      <c r="A150" s="4" t="s">
        <v>118</v>
      </c>
      <c r="B150" s="3"/>
      <c r="C150" s="5">
        <v>2004.72</v>
      </c>
      <c r="D150" s="60" t="s">
        <v>213</v>
      </c>
      <c r="E150" s="5">
        <v>2004.72</v>
      </c>
      <c r="F150" s="61">
        <f>IF($B$257="Y",B150*E150,B150*C150)</f>
        <v>0</v>
      </c>
      <c r="G150" s="12"/>
      <c r="H150" s="268">
        <f t="shared" si="8"/>
        <v>0</v>
      </c>
      <c r="I150" s="62">
        <f t="shared" si="9"/>
        <v>0</v>
      </c>
      <c r="J150" s="34"/>
      <c r="K150" s="63"/>
      <c r="L150" s="34"/>
      <c r="M150" s="64"/>
    </row>
    <row r="151" spans="1:13" x14ac:dyDescent="0.25">
      <c r="A151" s="4" t="s">
        <v>119</v>
      </c>
      <c r="B151" s="3"/>
      <c r="C151" s="5">
        <v>2467.6999999999998</v>
      </c>
      <c r="D151" s="60" t="s">
        <v>213</v>
      </c>
      <c r="E151" s="5">
        <v>2467.6999999999998</v>
      </c>
      <c r="F151" s="61">
        <f>IF($B$257="Y",B151*E151,B151*C151)</f>
        <v>0</v>
      </c>
      <c r="G151" s="12"/>
      <c r="H151" s="268">
        <f t="shared" si="8"/>
        <v>0</v>
      </c>
      <c r="I151" s="62">
        <f t="shared" si="9"/>
        <v>0</v>
      </c>
      <c r="J151" s="34"/>
      <c r="K151" s="63"/>
      <c r="L151" s="34"/>
      <c r="M151" s="64"/>
    </row>
    <row r="152" spans="1:13" x14ac:dyDescent="0.25">
      <c r="A152" s="4" t="s">
        <v>120</v>
      </c>
      <c r="B152" s="3"/>
      <c r="C152" s="5">
        <v>4625.25</v>
      </c>
      <c r="D152" s="60" t="s">
        <v>213</v>
      </c>
      <c r="E152" s="5">
        <v>4625.25</v>
      </c>
      <c r="F152" s="61">
        <f>IF($B$257="Y",B152*E152,B152*C152)</f>
        <v>0</v>
      </c>
      <c r="G152" s="12"/>
      <c r="H152" s="268">
        <f t="shared" si="8"/>
        <v>0</v>
      </c>
      <c r="I152" s="62">
        <f t="shared" si="9"/>
        <v>0</v>
      </c>
      <c r="J152" s="34"/>
      <c r="K152" s="63"/>
      <c r="L152" s="34"/>
      <c r="M152" s="64"/>
    </row>
    <row r="153" spans="1:13" x14ac:dyDescent="0.25">
      <c r="A153" s="31"/>
      <c r="B153" s="197"/>
      <c r="C153" s="30"/>
      <c r="D153" s="31"/>
      <c r="E153" s="31"/>
      <c r="F153" s="198"/>
      <c r="G153" s="12"/>
      <c r="H153" s="268">
        <f t="shared" si="8"/>
        <v>0</v>
      </c>
      <c r="I153" s="62">
        <f t="shared" si="9"/>
        <v>0</v>
      </c>
      <c r="J153" s="34"/>
      <c r="K153" s="63"/>
      <c r="L153" s="32"/>
      <c r="M153" s="64"/>
    </row>
    <row r="154" spans="1:13" x14ac:dyDescent="0.25">
      <c r="A154" s="55" t="s">
        <v>30</v>
      </c>
      <c r="B154" s="56"/>
      <c r="C154" s="34"/>
      <c r="D154" s="34"/>
      <c r="E154" s="32"/>
      <c r="F154" s="199"/>
      <c r="G154" s="12"/>
      <c r="H154" s="268">
        <f t="shared" si="8"/>
        <v>0</v>
      </c>
      <c r="I154" s="62">
        <f t="shared" si="9"/>
        <v>0</v>
      </c>
      <c r="J154" s="34"/>
      <c r="K154" s="63"/>
      <c r="L154" s="32"/>
      <c r="M154" s="64"/>
    </row>
    <row r="155" spans="1:13" x14ac:dyDescent="0.25">
      <c r="A155" s="4" t="s">
        <v>121</v>
      </c>
      <c r="B155" s="3"/>
      <c r="C155" s="5">
        <v>6173</v>
      </c>
      <c r="D155" s="60" t="s">
        <v>213</v>
      </c>
      <c r="E155" s="5">
        <v>6173</v>
      </c>
      <c r="F155" s="61">
        <f t="shared" ref="F155:F167" si="10">IF($B$257="Y",B155*E155,B155*C155)</f>
        <v>0</v>
      </c>
      <c r="G155" s="12"/>
      <c r="H155" s="268">
        <f t="shared" si="8"/>
        <v>0</v>
      </c>
      <c r="I155" s="62">
        <f t="shared" si="9"/>
        <v>0</v>
      </c>
      <c r="J155" s="34"/>
      <c r="K155" s="63"/>
      <c r="L155" s="34"/>
      <c r="M155" s="64"/>
    </row>
    <row r="156" spans="1:13" x14ac:dyDescent="0.25">
      <c r="A156" s="4" t="s">
        <v>122</v>
      </c>
      <c r="B156" s="3"/>
      <c r="C156" s="5">
        <v>6944.61</v>
      </c>
      <c r="D156" s="60" t="s">
        <v>213</v>
      </c>
      <c r="E156" s="5">
        <v>6944.61</v>
      </c>
      <c r="F156" s="61">
        <f t="shared" si="10"/>
        <v>0</v>
      </c>
      <c r="G156" s="12"/>
      <c r="H156" s="268">
        <f t="shared" si="8"/>
        <v>0</v>
      </c>
      <c r="I156" s="62">
        <f t="shared" si="9"/>
        <v>0</v>
      </c>
      <c r="J156" s="34"/>
      <c r="K156" s="63"/>
      <c r="L156" s="34"/>
      <c r="M156" s="64"/>
    </row>
    <row r="157" spans="1:13" x14ac:dyDescent="0.25">
      <c r="A157" s="4" t="s">
        <v>123</v>
      </c>
      <c r="B157" s="3"/>
      <c r="C157" s="5">
        <v>8487.86</v>
      </c>
      <c r="D157" s="60" t="s">
        <v>213</v>
      </c>
      <c r="E157" s="5">
        <v>8487.86</v>
      </c>
      <c r="F157" s="61">
        <f t="shared" si="10"/>
        <v>0</v>
      </c>
      <c r="G157" s="12"/>
      <c r="H157" s="268">
        <f t="shared" si="8"/>
        <v>0</v>
      </c>
      <c r="I157" s="62">
        <f t="shared" si="9"/>
        <v>0</v>
      </c>
      <c r="J157" s="34"/>
      <c r="K157" s="63"/>
      <c r="L157" s="34"/>
      <c r="M157" s="64"/>
    </row>
    <row r="158" spans="1:13" x14ac:dyDescent="0.25">
      <c r="A158" s="4" t="s">
        <v>124</v>
      </c>
      <c r="B158" s="3"/>
      <c r="C158" s="5">
        <v>10802.73</v>
      </c>
      <c r="D158" s="60" t="s">
        <v>213</v>
      </c>
      <c r="E158" s="5">
        <v>10802.73</v>
      </c>
      <c r="F158" s="61">
        <f t="shared" si="10"/>
        <v>0</v>
      </c>
      <c r="G158" s="12"/>
      <c r="H158" s="268">
        <f t="shared" si="8"/>
        <v>0</v>
      </c>
      <c r="I158" s="62">
        <f t="shared" si="9"/>
        <v>0</v>
      </c>
      <c r="J158" s="34"/>
      <c r="K158" s="63"/>
      <c r="L158" s="34"/>
      <c r="M158" s="64"/>
    </row>
    <row r="159" spans="1:13" x14ac:dyDescent="0.25">
      <c r="A159" s="4" t="s">
        <v>125</v>
      </c>
      <c r="B159" s="3"/>
      <c r="C159" s="5">
        <v>12345.98</v>
      </c>
      <c r="D159" s="60" t="s">
        <v>213</v>
      </c>
      <c r="E159" s="5">
        <v>12345.98</v>
      </c>
      <c r="F159" s="61">
        <f t="shared" si="10"/>
        <v>0</v>
      </c>
      <c r="G159" s="12"/>
      <c r="H159" s="268">
        <f t="shared" si="8"/>
        <v>0</v>
      </c>
      <c r="I159" s="62">
        <f t="shared" si="9"/>
        <v>0</v>
      </c>
      <c r="J159" s="34"/>
      <c r="K159" s="63"/>
      <c r="L159" s="34"/>
      <c r="M159" s="64"/>
    </row>
    <row r="160" spans="1:13" x14ac:dyDescent="0.25">
      <c r="A160" s="4" t="s">
        <v>126</v>
      </c>
      <c r="B160" s="3"/>
      <c r="C160" s="5">
        <v>7715.24</v>
      </c>
      <c r="D160" s="60" t="s">
        <v>213</v>
      </c>
      <c r="E160" s="5">
        <v>7716.24</v>
      </c>
      <c r="F160" s="61">
        <f t="shared" si="10"/>
        <v>0</v>
      </c>
      <c r="G160" s="12"/>
      <c r="H160" s="268">
        <f t="shared" si="8"/>
        <v>0</v>
      </c>
      <c r="I160" s="62">
        <f t="shared" si="9"/>
        <v>0</v>
      </c>
      <c r="J160" s="34"/>
      <c r="K160" s="63"/>
      <c r="L160" s="34"/>
      <c r="M160" s="64"/>
    </row>
    <row r="161" spans="1:13" x14ac:dyDescent="0.25">
      <c r="A161" s="4" t="s">
        <v>127</v>
      </c>
      <c r="B161" s="3"/>
      <c r="C161" s="5">
        <v>9259.49</v>
      </c>
      <c r="D161" s="60" t="s">
        <v>213</v>
      </c>
      <c r="E161" s="5">
        <v>9259.49</v>
      </c>
      <c r="F161" s="61">
        <f t="shared" si="10"/>
        <v>0</v>
      </c>
      <c r="G161" s="12"/>
      <c r="H161" s="268">
        <f t="shared" si="8"/>
        <v>0</v>
      </c>
      <c r="I161" s="62">
        <f t="shared" si="9"/>
        <v>0</v>
      </c>
      <c r="J161" s="34"/>
      <c r="K161" s="63"/>
      <c r="L161" s="34"/>
      <c r="M161" s="64"/>
    </row>
    <row r="162" spans="1:13" x14ac:dyDescent="0.25">
      <c r="A162" s="4" t="s">
        <v>128</v>
      </c>
      <c r="B162" s="3"/>
      <c r="C162" s="5">
        <v>10031.1</v>
      </c>
      <c r="D162" s="60" t="s">
        <v>213</v>
      </c>
      <c r="E162" s="5">
        <v>10031.1</v>
      </c>
      <c r="F162" s="61">
        <f t="shared" si="10"/>
        <v>0</v>
      </c>
      <c r="G162" s="12"/>
      <c r="H162" s="268">
        <f t="shared" si="8"/>
        <v>0</v>
      </c>
      <c r="I162" s="62">
        <f t="shared" si="9"/>
        <v>0</v>
      </c>
      <c r="J162" s="34"/>
      <c r="K162" s="63"/>
      <c r="L162" s="34"/>
      <c r="M162" s="64"/>
    </row>
    <row r="163" spans="1:13" x14ac:dyDescent="0.25">
      <c r="A163" s="4" t="s">
        <v>132</v>
      </c>
      <c r="B163" s="3"/>
      <c r="C163" s="5">
        <v>11574.35</v>
      </c>
      <c r="D163" s="60" t="s">
        <v>213</v>
      </c>
      <c r="E163" s="5">
        <v>11574.35</v>
      </c>
      <c r="F163" s="61">
        <f t="shared" si="10"/>
        <v>0</v>
      </c>
      <c r="G163" s="12"/>
      <c r="H163" s="268">
        <f t="shared" si="8"/>
        <v>0</v>
      </c>
      <c r="I163" s="62">
        <f t="shared" si="9"/>
        <v>0</v>
      </c>
      <c r="J163" s="34"/>
      <c r="K163" s="63"/>
      <c r="L163" s="34"/>
      <c r="M163" s="64"/>
    </row>
    <row r="164" spans="1:13" x14ac:dyDescent="0.25">
      <c r="A164" s="4" t="s">
        <v>133</v>
      </c>
      <c r="B164" s="3"/>
      <c r="C164" s="5">
        <v>13889.21</v>
      </c>
      <c r="D164" s="60" t="s">
        <v>213</v>
      </c>
      <c r="E164" s="5">
        <v>13889.21</v>
      </c>
      <c r="F164" s="61">
        <f t="shared" si="10"/>
        <v>0</v>
      </c>
      <c r="G164" s="12"/>
      <c r="H164" s="268">
        <f t="shared" si="8"/>
        <v>0</v>
      </c>
      <c r="I164" s="62">
        <f t="shared" si="9"/>
        <v>0</v>
      </c>
      <c r="J164" s="34"/>
      <c r="K164" s="63"/>
      <c r="L164" s="34"/>
      <c r="M164" s="64"/>
    </row>
    <row r="165" spans="1:13" x14ac:dyDescent="0.25">
      <c r="A165" s="4" t="s">
        <v>131</v>
      </c>
      <c r="B165" s="3"/>
      <c r="C165" s="5">
        <v>16975.72</v>
      </c>
      <c r="D165" s="60" t="s">
        <v>213</v>
      </c>
      <c r="E165" s="5">
        <v>16975.72</v>
      </c>
      <c r="F165" s="61">
        <f t="shared" si="10"/>
        <v>0</v>
      </c>
      <c r="G165" s="12"/>
      <c r="H165" s="268">
        <f t="shared" si="8"/>
        <v>0</v>
      </c>
      <c r="I165" s="62">
        <f t="shared" si="9"/>
        <v>0</v>
      </c>
      <c r="J165" s="34"/>
      <c r="K165" s="63"/>
      <c r="L165" s="34"/>
      <c r="M165" s="64"/>
    </row>
    <row r="166" spans="1:13" x14ac:dyDescent="0.25">
      <c r="A166" s="4" t="s">
        <v>129</v>
      </c>
      <c r="B166" s="3"/>
      <c r="C166" s="5">
        <v>16975.72</v>
      </c>
      <c r="D166" s="60" t="s">
        <v>213</v>
      </c>
      <c r="E166" s="5">
        <v>16975.72</v>
      </c>
      <c r="F166" s="61">
        <f t="shared" si="10"/>
        <v>0</v>
      </c>
      <c r="G166" s="12"/>
      <c r="H166" s="268">
        <f t="shared" si="8"/>
        <v>0</v>
      </c>
      <c r="I166" s="62">
        <f t="shared" si="9"/>
        <v>0</v>
      </c>
      <c r="J166" s="34"/>
      <c r="K166" s="63"/>
      <c r="L166" s="34"/>
      <c r="M166" s="64"/>
    </row>
    <row r="167" spans="1:13" x14ac:dyDescent="0.25">
      <c r="A167" s="4" t="s">
        <v>130</v>
      </c>
      <c r="B167" s="3"/>
      <c r="C167" s="93">
        <v>18518.98</v>
      </c>
      <c r="D167" s="60" t="s">
        <v>213</v>
      </c>
      <c r="E167" s="93">
        <v>18518.98</v>
      </c>
      <c r="F167" s="61">
        <f t="shared" si="10"/>
        <v>0</v>
      </c>
      <c r="G167" s="12"/>
      <c r="H167" s="268">
        <f t="shared" si="8"/>
        <v>0</v>
      </c>
      <c r="I167" s="62">
        <f t="shared" si="9"/>
        <v>0</v>
      </c>
      <c r="J167" s="34"/>
      <c r="K167" s="63"/>
      <c r="L167" s="34"/>
      <c r="M167" s="64"/>
    </row>
    <row r="168" spans="1:13" ht="15" customHeight="1" x14ac:dyDescent="0.25">
      <c r="A168" s="94"/>
      <c r="B168" s="277" t="s">
        <v>69</v>
      </c>
      <c r="C168" s="277"/>
      <c r="D168" s="277"/>
      <c r="E168" s="278"/>
      <c r="F168" s="95">
        <f>SUM(F71:F167)</f>
        <v>0</v>
      </c>
      <c r="G168" s="96" t="s">
        <v>42</v>
      </c>
      <c r="H168" s="268"/>
      <c r="I168" s="62"/>
      <c r="J168" s="34"/>
      <c r="K168" s="63"/>
      <c r="L168" s="34"/>
      <c r="M168" s="64"/>
    </row>
    <row r="169" spans="1:13" ht="9" customHeight="1" x14ac:dyDescent="0.25">
      <c r="A169" s="94"/>
      <c r="B169" s="64"/>
      <c r="C169" s="94"/>
      <c r="D169" s="94"/>
      <c r="E169" s="94"/>
      <c r="F169" s="97"/>
      <c r="G169" s="96"/>
      <c r="H169" s="268">
        <f t="shared" si="8"/>
        <v>0</v>
      </c>
      <c r="I169" s="62">
        <f>B169*E169</f>
        <v>0</v>
      </c>
      <c r="J169" s="34"/>
      <c r="K169" s="63"/>
      <c r="L169" s="34"/>
      <c r="M169" s="64"/>
    </row>
    <row r="170" spans="1:13" ht="9" customHeight="1" x14ac:dyDescent="0.25">
      <c r="A170" s="32"/>
      <c r="B170" s="98"/>
      <c r="C170" s="34"/>
      <c r="D170" s="32"/>
      <c r="E170" s="34"/>
      <c r="F170" s="97"/>
      <c r="G170" s="12"/>
      <c r="H170" s="268">
        <f t="shared" si="8"/>
        <v>0</v>
      </c>
      <c r="I170" s="62">
        <f>B170*E170</f>
        <v>0</v>
      </c>
      <c r="J170" s="34"/>
      <c r="K170" s="63"/>
      <c r="L170" s="34"/>
      <c r="M170" s="64"/>
    </row>
    <row r="171" spans="1:13" x14ac:dyDescent="0.2">
      <c r="A171" s="291" t="s">
        <v>192</v>
      </c>
      <c r="B171" s="292"/>
      <c r="C171" s="292"/>
      <c r="D171" s="292"/>
      <c r="E171" s="292"/>
      <c r="F171" s="293"/>
      <c r="G171" s="12"/>
      <c r="H171" s="268">
        <f t="shared" si="8"/>
        <v>0</v>
      </c>
      <c r="I171" s="62">
        <f>B171*E171</f>
        <v>0</v>
      </c>
      <c r="J171" s="34"/>
      <c r="K171" s="63"/>
      <c r="L171" s="34"/>
      <c r="M171" s="64"/>
    </row>
    <row r="172" spans="1:13" x14ac:dyDescent="0.25">
      <c r="A172" s="48" t="s">
        <v>0</v>
      </c>
      <c r="B172" s="49" t="s">
        <v>1</v>
      </c>
      <c r="C172" s="297" t="s">
        <v>2</v>
      </c>
      <c r="D172" s="275"/>
      <c r="E172" s="276"/>
      <c r="F172" s="50" t="s">
        <v>3</v>
      </c>
      <c r="G172" s="12"/>
      <c r="H172" s="268"/>
      <c r="I172" s="62"/>
      <c r="J172" s="34"/>
      <c r="K172" s="63"/>
      <c r="L172" s="34"/>
      <c r="M172" s="64"/>
    </row>
    <row r="173" spans="1:13" x14ac:dyDescent="0.25">
      <c r="A173" s="99"/>
      <c r="B173" s="100"/>
      <c r="C173" s="303" t="s">
        <v>39</v>
      </c>
      <c r="D173" s="303"/>
      <c r="E173" s="101" t="s">
        <v>40</v>
      </c>
      <c r="F173" s="79"/>
      <c r="G173" s="12"/>
      <c r="H173" s="268"/>
      <c r="I173" s="62"/>
      <c r="J173" s="34"/>
      <c r="K173" s="63"/>
      <c r="L173" s="34"/>
      <c r="M173" s="64"/>
    </row>
    <row r="174" spans="1:13" x14ac:dyDescent="0.25">
      <c r="A174" s="102" t="s">
        <v>134</v>
      </c>
      <c r="B174" s="6"/>
      <c r="C174" s="103">
        <v>33432.879999999997</v>
      </c>
      <c r="D174" s="60" t="s">
        <v>213</v>
      </c>
      <c r="E174" s="103">
        <v>33432.879999999997</v>
      </c>
      <c r="F174" s="61">
        <f>IF($B$257="Y",B174*E174,B174*C174)</f>
        <v>0</v>
      </c>
      <c r="G174" s="12"/>
      <c r="H174" s="268">
        <f t="shared" si="8"/>
        <v>0</v>
      </c>
      <c r="I174" s="62">
        <f>B174*E174</f>
        <v>0</v>
      </c>
      <c r="J174" s="34"/>
      <c r="K174" s="63"/>
      <c r="L174" s="34"/>
      <c r="M174" s="64"/>
    </row>
    <row r="175" spans="1:13" x14ac:dyDescent="0.25">
      <c r="A175" s="94"/>
      <c r="B175" s="94"/>
      <c r="C175" s="306" t="s">
        <v>70</v>
      </c>
      <c r="D175" s="306"/>
      <c r="E175" s="306"/>
      <c r="F175" s="95">
        <f>SUM(F174)</f>
        <v>0</v>
      </c>
      <c r="G175" s="96" t="s">
        <v>43</v>
      </c>
      <c r="H175" s="268"/>
      <c r="I175" s="62">
        <f>B175*E175</f>
        <v>0</v>
      </c>
      <c r="J175" s="34"/>
      <c r="K175" s="63"/>
      <c r="L175" s="34"/>
      <c r="M175" s="64"/>
    </row>
    <row r="176" spans="1:13" ht="9" customHeight="1" x14ac:dyDescent="0.25">
      <c r="A176" s="94"/>
      <c r="B176" s="94"/>
      <c r="C176" s="94"/>
      <c r="D176" s="94"/>
      <c r="E176" s="94"/>
      <c r="F176" s="97"/>
      <c r="G176" s="96"/>
      <c r="H176" s="268">
        <f t="shared" si="8"/>
        <v>0</v>
      </c>
      <c r="I176" s="62">
        <f>B176*E176</f>
        <v>0</v>
      </c>
      <c r="J176" s="34"/>
      <c r="K176" s="63"/>
      <c r="L176" s="34"/>
      <c r="M176" s="64"/>
    </row>
    <row r="177" spans="1:13" ht="9" customHeight="1" x14ac:dyDescent="0.25">
      <c r="A177" s="32"/>
      <c r="B177" s="94"/>
      <c r="C177" s="94"/>
      <c r="D177" s="94"/>
      <c r="E177" s="94"/>
      <c r="F177" s="97"/>
      <c r="G177" s="12"/>
      <c r="H177" s="268">
        <f t="shared" si="8"/>
        <v>0</v>
      </c>
      <c r="I177" s="62">
        <f>B177*E177</f>
        <v>0</v>
      </c>
      <c r="J177" s="34"/>
      <c r="K177" s="63"/>
      <c r="L177" s="34"/>
      <c r="M177" s="64"/>
    </row>
    <row r="178" spans="1:13" x14ac:dyDescent="0.2">
      <c r="A178" s="291" t="s">
        <v>237</v>
      </c>
      <c r="B178" s="292"/>
      <c r="C178" s="292"/>
      <c r="D178" s="292"/>
      <c r="E178" s="292"/>
      <c r="F178" s="293"/>
      <c r="G178" s="12"/>
      <c r="H178" s="268">
        <f t="shared" si="8"/>
        <v>0</v>
      </c>
      <c r="I178" s="62">
        <f>B178*E178</f>
        <v>0</v>
      </c>
      <c r="J178" s="34"/>
      <c r="K178" s="63"/>
      <c r="L178" s="34"/>
      <c r="M178" s="64"/>
    </row>
    <row r="179" spans="1:13" x14ac:dyDescent="0.25">
      <c r="A179" s="48" t="s">
        <v>0</v>
      </c>
      <c r="B179" s="49" t="s">
        <v>1</v>
      </c>
      <c r="C179" s="297" t="s">
        <v>2</v>
      </c>
      <c r="D179" s="275"/>
      <c r="E179" s="276"/>
      <c r="F179" s="50" t="s">
        <v>3</v>
      </c>
      <c r="G179" s="12"/>
      <c r="H179" s="268"/>
      <c r="I179" s="62"/>
      <c r="J179" s="34"/>
      <c r="K179" s="63"/>
      <c r="L179" s="34"/>
      <c r="M179" s="64"/>
    </row>
    <row r="180" spans="1:13" x14ac:dyDescent="0.25">
      <c r="A180" s="99"/>
      <c r="B180" s="100"/>
      <c r="C180" s="303" t="s">
        <v>39</v>
      </c>
      <c r="D180" s="303"/>
      <c r="E180" s="101" t="s">
        <v>40</v>
      </c>
      <c r="F180" s="79"/>
      <c r="G180" s="12"/>
      <c r="H180" s="268"/>
      <c r="I180" s="62"/>
      <c r="J180" s="34"/>
      <c r="K180" s="63"/>
      <c r="L180" s="64"/>
      <c r="M180" s="64"/>
    </row>
    <row r="181" spans="1:13" x14ac:dyDescent="0.25">
      <c r="A181" s="102" t="s">
        <v>238</v>
      </c>
      <c r="B181" s="6"/>
      <c r="C181" s="103">
        <v>302.61</v>
      </c>
      <c r="D181" s="104" t="s">
        <v>38</v>
      </c>
      <c r="E181" s="103">
        <v>308.64999999999998</v>
      </c>
      <c r="F181" s="61">
        <f>IF($B$257="Y",B181*E181,B181*C181)</f>
        <v>0</v>
      </c>
      <c r="G181" s="12"/>
      <c r="H181" s="268">
        <f t="shared" si="8"/>
        <v>0</v>
      </c>
      <c r="I181" s="62">
        <f>B181*E181</f>
        <v>0</v>
      </c>
      <c r="J181" s="34"/>
      <c r="K181" s="63"/>
      <c r="L181" s="64"/>
      <c r="M181" s="64"/>
    </row>
    <row r="182" spans="1:13" ht="15" customHeight="1" x14ac:dyDescent="0.25">
      <c r="A182" s="94"/>
      <c r="B182" s="279" t="s">
        <v>71</v>
      </c>
      <c r="C182" s="279"/>
      <c r="D182" s="279"/>
      <c r="E182" s="280"/>
      <c r="F182" s="95">
        <f>SUM(F181)</f>
        <v>0</v>
      </c>
      <c r="G182" s="96" t="s">
        <v>41</v>
      </c>
      <c r="H182" s="268"/>
      <c r="I182" s="62"/>
      <c r="J182" s="34"/>
      <c r="K182" s="63"/>
      <c r="L182" s="64"/>
      <c r="M182" s="64"/>
    </row>
    <row r="183" spans="1:13" ht="9" customHeight="1" x14ac:dyDescent="0.25">
      <c r="A183" s="94"/>
      <c r="B183" s="94"/>
      <c r="C183" s="94"/>
      <c r="D183" s="94"/>
      <c r="E183" s="94"/>
      <c r="F183" s="97"/>
      <c r="G183" s="96"/>
      <c r="H183" s="268">
        <f t="shared" si="8"/>
        <v>0</v>
      </c>
      <c r="I183" s="62">
        <f>B183*E183</f>
        <v>0</v>
      </c>
      <c r="J183" s="34"/>
      <c r="K183" s="63"/>
      <c r="L183" s="64"/>
      <c r="M183" s="64"/>
    </row>
    <row r="184" spans="1:13" ht="9" customHeight="1" x14ac:dyDescent="0.25">
      <c r="A184" s="32"/>
      <c r="B184" s="98"/>
      <c r="C184" s="34"/>
      <c r="D184" s="32"/>
      <c r="E184" s="34"/>
      <c r="F184" s="97"/>
      <c r="G184" s="12"/>
      <c r="H184" s="268">
        <f t="shared" si="8"/>
        <v>0</v>
      </c>
      <c r="I184" s="62">
        <f>B184*E184</f>
        <v>0</v>
      </c>
      <c r="J184" s="34"/>
      <c r="K184" s="63"/>
      <c r="L184" s="64"/>
      <c r="M184" s="64"/>
    </row>
    <row r="185" spans="1:13" x14ac:dyDescent="0.2">
      <c r="A185" s="291" t="s">
        <v>284</v>
      </c>
      <c r="B185" s="292"/>
      <c r="C185" s="292"/>
      <c r="D185" s="292"/>
      <c r="E185" s="292"/>
      <c r="F185" s="293"/>
      <c r="G185" s="12"/>
      <c r="H185" s="268">
        <f t="shared" si="8"/>
        <v>0</v>
      </c>
      <c r="I185" s="62">
        <f>B185*E185</f>
        <v>0</v>
      </c>
      <c r="J185" s="34"/>
      <c r="K185" s="63"/>
      <c r="L185" s="64"/>
      <c r="M185" s="64"/>
    </row>
    <row r="186" spans="1:13" x14ac:dyDescent="0.25">
      <c r="A186" s="48" t="s">
        <v>0</v>
      </c>
      <c r="B186" s="49" t="s">
        <v>1</v>
      </c>
      <c r="C186" s="297" t="s">
        <v>2</v>
      </c>
      <c r="D186" s="275"/>
      <c r="E186" s="276"/>
      <c r="F186" s="50" t="s">
        <v>3</v>
      </c>
      <c r="G186" s="12"/>
      <c r="H186" s="268"/>
      <c r="I186" s="62"/>
      <c r="J186" s="34"/>
      <c r="K186" s="63"/>
      <c r="L186" s="64"/>
      <c r="M186" s="64"/>
    </row>
    <row r="187" spans="1:13" x14ac:dyDescent="0.25">
      <c r="A187" s="51"/>
      <c r="B187" s="105"/>
      <c r="C187" s="284" t="s">
        <v>39</v>
      </c>
      <c r="D187" s="285"/>
      <c r="E187" s="53" t="s">
        <v>40</v>
      </c>
      <c r="F187" s="54"/>
      <c r="G187" s="12"/>
      <c r="H187" s="268"/>
      <c r="I187" s="62"/>
      <c r="J187" s="34"/>
      <c r="K187" s="63"/>
      <c r="L187" s="64"/>
      <c r="M187" s="64"/>
    </row>
    <row r="188" spans="1:13" x14ac:dyDescent="0.25">
      <c r="A188" s="55" t="s">
        <v>31</v>
      </c>
      <c r="B188" s="92"/>
      <c r="C188" s="89"/>
      <c r="D188" s="106"/>
      <c r="E188" s="107"/>
      <c r="F188" s="108"/>
      <c r="G188" s="12"/>
      <c r="H188" s="268">
        <f t="shared" si="8"/>
        <v>0</v>
      </c>
      <c r="I188" s="62">
        <f t="shared" ref="I188:I219" si="11">B188*E188</f>
        <v>0</v>
      </c>
      <c r="J188" s="34"/>
      <c r="K188" s="63"/>
      <c r="L188" s="64"/>
      <c r="M188" s="64"/>
    </row>
    <row r="189" spans="1:13" x14ac:dyDescent="0.25">
      <c r="A189" s="4" t="s">
        <v>135</v>
      </c>
      <c r="B189" s="3"/>
      <c r="C189" s="109">
        <v>422.33</v>
      </c>
      <c r="D189" s="60" t="s">
        <v>213</v>
      </c>
      <c r="E189" s="109">
        <v>422.33</v>
      </c>
      <c r="F189" s="61">
        <f>IF($B$257="Y",B189*E189,B189*C189)</f>
        <v>0</v>
      </c>
      <c r="G189" s="12"/>
      <c r="H189" s="268">
        <f t="shared" si="8"/>
        <v>0</v>
      </c>
      <c r="I189" s="62">
        <f t="shared" si="11"/>
        <v>0</v>
      </c>
      <c r="J189" s="34"/>
      <c r="K189" s="63"/>
      <c r="L189" s="64"/>
      <c r="M189" s="64"/>
    </row>
    <row r="190" spans="1:13" x14ac:dyDescent="0.25">
      <c r="A190" s="4" t="s">
        <v>136</v>
      </c>
      <c r="B190" s="3"/>
      <c r="C190" s="109">
        <v>598.30999999999995</v>
      </c>
      <c r="D190" s="60" t="s">
        <v>213</v>
      </c>
      <c r="E190" s="109">
        <v>598.30999999999995</v>
      </c>
      <c r="F190" s="61">
        <f>IF($B$257="Y",B190*E190,B190*C190)</f>
        <v>0</v>
      </c>
      <c r="G190" s="12"/>
      <c r="H190" s="268">
        <f t="shared" si="8"/>
        <v>0</v>
      </c>
      <c r="I190" s="62">
        <f t="shared" si="11"/>
        <v>0</v>
      </c>
      <c r="J190" s="34"/>
      <c r="K190" s="63"/>
      <c r="L190" s="64"/>
      <c r="M190" s="64"/>
    </row>
    <row r="191" spans="1:13" x14ac:dyDescent="0.25">
      <c r="A191" s="4" t="s">
        <v>137</v>
      </c>
      <c r="B191" s="3"/>
      <c r="C191" s="109">
        <v>361.94</v>
      </c>
      <c r="D191" s="60" t="s">
        <v>213</v>
      </c>
      <c r="E191" s="109">
        <v>361.94</v>
      </c>
      <c r="F191" s="61">
        <f>IF($B$257="Y",B191*E191,B191*C191)</f>
        <v>0</v>
      </c>
      <c r="G191" s="12"/>
      <c r="H191" s="268">
        <f t="shared" si="8"/>
        <v>0</v>
      </c>
      <c r="I191" s="62">
        <f t="shared" si="11"/>
        <v>0</v>
      </c>
      <c r="J191" s="34"/>
      <c r="K191" s="63"/>
      <c r="L191" s="64"/>
      <c r="M191" s="64"/>
    </row>
    <row r="192" spans="1:13" x14ac:dyDescent="0.25">
      <c r="A192" s="4" t="s">
        <v>138</v>
      </c>
      <c r="B192" s="3"/>
      <c r="C192" s="110">
        <v>253.4</v>
      </c>
      <c r="D192" s="60" t="s">
        <v>213</v>
      </c>
      <c r="E192" s="110">
        <v>253.4</v>
      </c>
      <c r="F192" s="61">
        <f>IF($B$257="Y",B192*E192,B192*C192)</f>
        <v>0</v>
      </c>
      <c r="G192" s="12"/>
      <c r="H192" s="268">
        <f t="shared" si="8"/>
        <v>0</v>
      </c>
      <c r="I192" s="62">
        <f t="shared" si="11"/>
        <v>0</v>
      </c>
      <c r="J192" s="34"/>
      <c r="K192" s="63"/>
      <c r="L192" s="64"/>
      <c r="M192" s="64"/>
    </row>
    <row r="193" spans="1:13" x14ac:dyDescent="0.25">
      <c r="A193" s="4" t="s">
        <v>139</v>
      </c>
      <c r="B193" s="3"/>
      <c r="C193" s="110">
        <v>316.75</v>
      </c>
      <c r="D193" s="60" t="s">
        <v>213</v>
      </c>
      <c r="E193" s="110">
        <v>316.75</v>
      </c>
      <c r="F193" s="61">
        <f>IF($B$257="Y",B193*E193,B193*C193)</f>
        <v>0</v>
      </c>
      <c r="G193" s="12"/>
      <c r="H193" s="268">
        <f t="shared" si="8"/>
        <v>0</v>
      </c>
      <c r="I193" s="62">
        <f t="shared" si="11"/>
        <v>0</v>
      </c>
      <c r="J193" s="34"/>
      <c r="K193" s="63"/>
      <c r="L193" s="64"/>
      <c r="M193" s="64"/>
    </row>
    <row r="194" spans="1:13" x14ac:dyDescent="0.25">
      <c r="A194" s="51"/>
      <c r="B194" s="92"/>
      <c r="C194" s="111"/>
      <c r="D194" s="32"/>
      <c r="E194" s="63"/>
      <c r="F194" s="112"/>
      <c r="G194" s="12"/>
      <c r="H194" s="268">
        <f t="shared" si="8"/>
        <v>0</v>
      </c>
      <c r="I194" s="62">
        <f t="shared" si="11"/>
        <v>0</v>
      </c>
      <c r="J194" s="34"/>
      <c r="K194" s="63"/>
      <c r="L194" s="64"/>
      <c r="M194" s="64"/>
    </row>
    <row r="195" spans="1:13" x14ac:dyDescent="0.25">
      <c r="A195" s="55" t="s">
        <v>32</v>
      </c>
      <c r="B195" s="92"/>
      <c r="C195" s="34"/>
      <c r="D195" s="32"/>
      <c r="E195" s="63"/>
      <c r="F195" s="112"/>
      <c r="G195" s="12"/>
      <c r="H195" s="268">
        <f t="shared" si="8"/>
        <v>0</v>
      </c>
      <c r="I195" s="62">
        <f t="shared" si="11"/>
        <v>0</v>
      </c>
      <c r="J195" s="34"/>
      <c r="K195" s="63"/>
      <c r="L195" s="64"/>
      <c r="M195" s="64"/>
    </row>
    <row r="196" spans="1:13" x14ac:dyDescent="0.25">
      <c r="A196" s="4" t="s">
        <v>140</v>
      </c>
      <c r="B196" s="3"/>
      <c r="C196" s="109">
        <v>2.82</v>
      </c>
      <c r="D196" s="60" t="s">
        <v>38</v>
      </c>
      <c r="E196" s="109">
        <v>2.82</v>
      </c>
      <c r="F196" s="61">
        <f t="shared" ref="F196:F216" si="12">IF($B$257="Y",B196*E196,B196*C196)</f>
        <v>0</v>
      </c>
      <c r="G196" s="12"/>
      <c r="H196" s="268">
        <f t="shared" si="8"/>
        <v>0</v>
      </c>
      <c r="I196" s="62">
        <f t="shared" si="11"/>
        <v>0</v>
      </c>
      <c r="J196" s="34"/>
      <c r="K196" s="63"/>
      <c r="L196" s="64"/>
      <c r="M196" s="64"/>
    </row>
    <row r="197" spans="1:13" x14ac:dyDescent="0.25">
      <c r="A197" s="4" t="s">
        <v>141</v>
      </c>
      <c r="B197" s="3"/>
      <c r="C197" s="109">
        <v>2.82</v>
      </c>
      <c r="D197" s="60" t="s">
        <v>38</v>
      </c>
      <c r="E197" s="109">
        <v>2.82</v>
      </c>
      <c r="F197" s="61">
        <f t="shared" si="12"/>
        <v>0</v>
      </c>
      <c r="G197" s="12"/>
      <c r="H197" s="268">
        <f t="shared" si="8"/>
        <v>0</v>
      </c>
      <c r="I197" s="62">
        <f t="shared" si="11"/>
        <v>0</v>
      </c>
      <c r="J197" s="34"/>
      <c r="K197" s="63"/>
      <c r="L197" s="64"/>
      <c r="M197" s="64"/>
    </row>
    <row r="198" spans="1:13" x14ac:dyDescent="0.25">
      <c r="A198" s="4" t="s">
        <v>142</v>
      </c>
      <c r="B198" s="3"/>
      <c r="C198" s="109">
        <v>2.82</v>
      </c>
      <c r="D198" s="60" t="s">
        <v>38</v>
      </c>
      <c r="E198" s="109">
        <v>2.82</v>
      </c>
      <c r="F198" s="61">
        <f t="shared" si="12"/>
        <v>0</v>
      </c>
      <c r="G198" s="12"/>
      <c r="H198" s="268">
        <f t="shared" si="8"/>
        <v>0</v>
      </c>
      <c r="I198" s="62">
        <f t="shared" si="11"/>
        <v>0</v>
      </c>
      <c r="J198" s="34"/>
      <c r="K198" s="63"/>
      <c r="L198" s="64"/>
      <c r="M198" s="64"/>
    </row>
    <row r="199" spans="1:13" x14ac:dyDescent="0.25">
      <c r="A199" s="4" t="s">
        <v>143</v>
      </c>
      <c r="B199" s="3"/>
      <c r="C199" s="109">
        <v>2.82</v>
      </c>
      <c r="D199" s="60" t="s">
        <v>38</v>
      </c>
      <c r="E199" s="109">
        <v>2.82</v>
      </c>
      <c r="F199" s="61">
        <f t="shared" si="12"/>
        <v>0</v>
      </c>
      <c r="G199" s="12"/>
      <c r="H199" s="268">
        <f t="shared" si="8"/>
        <v>0</v>
      </c>
      <c r="I199" s="62">
        <f t="shared" si="11"/>
        <v>0</v>
      </c>
      <c r="J199" s="34"/>
      <c r="K199" s="63"/>
      <c r="L199" s="64"/>
      <c r="M199" s="64"/>
    </row>
    <row r="200" spans="1:13" x14ac:dyDescent="0.25">
      <c r="A200" s="113" t="s">
        <v>144</v>
      </c>
      <c r="B200" s="3"/>
      <c r="C200" s="109">
        <v>3.52</v>
      </c>
      <c r="D200" s="60" t="s">
        <v>38</v>
      </c>
      <c r="E200" s="109">
        <v>3.52</v>
      </c>
      <c r="F200" s="61">
        <f t="shared" si="12"/>
        <v>0</v>
      </c>
      <c r="G200" s="12"/>
      <c r="H200" s="268">
        <f t="shared" ref="H200:H253" si="13">B200*C200</f>
        <v>0</v>
      </c>
      <c r="I200" s="62">
        <f t="shared" si="11"/>
        <v>0</v>
      </c>
      <c r="J200" s="34"/>
      <c r="K200" s="63"/>
      <c r="L200" s="64"/>
      <c r="M200" s="64"/>
    </row>
    <row r="201" spans="1:13" x14ac:dyDescent="0.25">
      <c r="A201" s="113" t="s">
        <v>145</v>
      </c>
      <c r="B201" s="3"/>
      <c r="C201" s="109">
        <v>3.52</v>
      </c>
      <c r="D201" s="60" t="s">
        <v>38</v>
      </c>
      <c r="E201" s="109">
        <v>3.52</v>
      </c>
      <c r="F201" s="61">
        <f t="shared" si="12"/>
        <v>0</v>
      </c>
      <c r="G201" s="12"/>
      <c r="H201" s="268">
        <f t="shared" si="13"/>
        <v>0</v>
      </c>
      <c r="I201" s="62">
        <f t="shared" si="11"/>
        <v>0</v>
      </c>
      <c r="J201" s="34"/>
      <c r="K201" s="63"/>
      <c r="L201" s="64"/>
      <c r="M201" s="64"/>
    </row>
    <row r="202" spans="1:13" x14ac:dyDescent="0.25">
      <c r="A202" s="113" t="s">
        <v>146</v>
      </c>
      <c r="B202" s="3"/>
      <c r="C202" s="109">
        <v>4.22</v>
      </c>
      <c r="D202" s="60" t="s">
        <v>38</v>
      </c>
      <c r="E202" s="109">
        <v>4.22</v>
      </c>
      <c r="F202" s="61">
        <f t="shared" si="12"/>
        <v>0</v>
      </c>
      <c r="G202" s="12"/>
      <c r="H202" s="268">
        <f t="shared" si="13"/>
        <v>0</v>
      </c>
      <c r="I202" s="62">
        <f t="shared" si="11"/>
        <v>0</v>
      </c>
      <c r="J202" s="34"/>
      <c r="K202" s="63"/>
      <c r="L202" s="64"/>
      <c r="M202" s="64"/>
    </row>
    <row r="203" spans="1:13" x14ac:dyDescent="0.25">
      <c r="A203" s="113" t="s">
        <v>147</v>
      </c>
      <c r="B203" s="3"/>
      <c r="C203" s="109">
        <v>4.22</v>
      </c>
      <c r="D203" s="60" t="s">
        <v>38</v>
      </c>
      <c r="E203" s="109">
        <v>4.22</v>
      </c>
      <c r="F203" s="61">
        <f t="shared" si="12"/>
        <v>0</v>
      </c>
      <c r="G203" s="12"/>
      <c r="H203" s="268">
        <f t="shared" si="13"/>
        <v>0</v>
      </c>
      <c r="I203" s="62">
        <f t="shared" si="11"/>
        <v>0</v>
      </c>
      <c r="J203" s="34"/>
      <c r="K203" s="63"/>
      <c r="L203" s="64"/>
      <c r="M203" s="64"/>
    </row>
    <row r="204" spans="1:13" x14ac:dyDescent="0.25">
      <c r="A204" s="4" t="s">
        <v>148</v>
      </c>
      <c r="B204" s="3"/>
      <c r="C204" s="109">
        <v>3.52</v>
      </c>
      <c r="D204" s="60" t="s">
        <v>38</v>
      </c>
      <c r="E204" s="109">
        <v>3.52</v>
      </c>
      <c r="F204" s="61">
        <f t="shared" si="12"/>
        <v>0</v>
      </c>
      <c r="G204" s="12"/>
      <c r="H204" s="268">
        <f t="shared" si="13"/>
        <v>0</v>
      </c>
      <c r="I204" s="62">
        <f t="shared" si="11"/>
        <v>0</v>
      </c>
      <c r="J204" s="34"/>
      <c r="K204" s="63"/>
      <c r="L204" s="64"/>
      <c r="M204" s="64"/>
    </row>
    <row r="205" spans="1:13" x14ac:dyDescent="0.25">
      <c r="A205" s="4" t="s">
        <v>149</v>
      </c>
      <c r="B205" s="3"/>
      <c r="C205" s="109">
        <v>3.52</v>
      </c>
      <c r="D205" s="60" t="s">
        <v>38</v>
      </c>
      <c r="E205" s="109">
        <v>3.52</v>
      </c>
      <c r="F205" s="61">
        <f t="shared" si="12"/>
        <v>0</v>
      </c>
      <c r="G205" s="12"/>
      <c r="H205" s="268">
        <f t="shared" si="13"/>
        <v>0</v>
      </c>
      <c r="I205" s="62">
        <f t="shared" si="11"/>
        <v>0</v>
      </c>
      <c r="J205" s="34"/>
      <c r="K205" s="63"/>
      <c r="L205" s="64"/>
      <c r="M205" s="64"/>
    </row>
    <row r="206" spans="1:13" x14ac:dyDescent="0.25">
      <c r="A206" s="4" t="s">
        <v>150</v>
      </c>
      <c r="B206" s="3"/>
      <c r="C206" s="109">
        <v>3.52</v>
      </c>
      <c r="D206" s="60" t="s">
        <v>38</v>
      </c>
      <c r="E206" s="109">
        <v>3.52</v>
      </c>
      <c r="F206" s="61">
        <f t="shared" si="12"/>
        <v>0</v>
      </c>
      <c r="G206" s="12"/>
      <c r="H206" s="268">
        <f t="shared" si="13"/>
        <v>0</v>
      </c>
      <c r="I206" s="62">
        <f t="shared" si="11"/>
        <v>0</v>
      </c>
      <c r="J206" s="34"/>
      <c r="K206" s="63"/>
      <c r="L206" s="64"/>
      <c r="M206" s="64"/>
    </row>
    <row r="207" spans="1:13" x14ac:dyDescent="0.25">
      <c r="A207" s="4" t="s">
        <v>151</v>
      </c>
      <c r="B207" s="3"/>
      <c r="C207" s="109">
        <v>4.93</v>
      </c>
      <c r="D207" s="60" t="s">
        <v>38</v>
      </c>
      <c r="E207" s="109">
        <v>4.93</v>
      </c>
      <c r="F207" s="61">
        <f t="shared" si="12"/>
        <v>0</v>
      </c>
      <c r="G207" s="12"/>
      <c r="H207" s="268">
        <f t="shared" si="13"/>
        <v>0</v>
      </c>
      <c r="I207" s="62">
        <f t="shared" si="11"/>
        <v>0</v>
      </c>
      <c r="J207" s="34"/>
      <c r="K207" s="63"/>
      <c r="L207" s="64"/>
      <c r="M207" s="64"/>
    </row>
    <row r="208" spans="1:13" x14ac:dyDescent="0.25">
      <c r="A208" s="4" t="s">
        <v>152</v>
      </c>
      <c r="B208" s="3"/>
      <c r="C208" s="109">
        <v>4.93</v>
      </c>
      <c r="D208" s="60" t="s">
        <v>38</v>
      </c>
      <c r="E208" s="109">
        <v>4.93</v>
      </c>
      <c r="F208" s="61">
        <f t="shared" si="12"/>
        <v>0</v>
      </c>
      <c r="G208" s="12"/>
      <c r="H208" s="268">
        <f t="shared" si="13"/>
        <v>0</v>
      </c>
      <c r="I208" s="62">
        <f t="shared" si="11"/>
        <v>0</v>
      </c>
      <c r="J208" s="34"/>
      <c r="K208" s="63"/>
      <c r="L208" s="64"/>
      <c r="M208" s="64"/>
    </row>
    <row r="209" spans="1:13" x14ac:dyDescent="0.25">
      <c r="A209" s="4" t="s">
        <v>153</v>
      </c>
      <c r="B209" s="3"/>
      <c r="C209" s="109">
        <v>4.22</v>
      </c>
      <c r="D209" s="60" t="s">
        <v>38</v>
      </c>
      <c r="E209" s="109">
        <v>4.22</v>
      </c>
      <c r="F209" s="61">
        <f t="shared" si="12"/>
        <v>0</v>
      </c>
      <c r="G209" s="12"/>
      <c r="H209" s="268">
        <f t="shared" si="13"/>
        <v>0</v>
      </c>
      <c r="I209" s="62">
        <f t="shared" si="11"/>
        <v>0</v>
      </c>
      <c r="J209" s="34"/>
      <c r="K209" s="63"/>
      <c r="L209" s="64"/>
      <c r="M209" s="64"/>
    </row>
    <row r="210" spans="1:13" x14ac:dyDescent="0.25">
      <c r="A210" s="4" t="s">
        <v>154</v>
      </c>
      <c r="B210" s="3"/>
      <c r="C210" s="109">
        <v>4.22</v>
      </c>
      <c r="D210" s="60" t="s">
        <v>38</v>
      </c>
      <c r="E210" s="109">
        <v>4.22</v>
      </c>
      <c r="F210" s="61">
        <f t="shared" si="12"/>
        <v>0</v>
      </c>
      <c r="G210" s="12"/>
      <c r="H210" s="268">
        <f t="shared" si="13"/>
        <v>0</v>
      </c>
      <c r="I210" s="62">
        <f t="shared" si="11"/>
        <v>0</v>
      </c>
      <c r="J210" s="34"/>
      <c r="K210" s="63"/>
      <c r="L210" s="64"/>
      <c r="M210" s="64"/>
    </row>
    <row r="211" spans="1:13" x14ac:dyDescent="0.25">
      <c r="A211" s="4" t="s">
        <v>155</v>
      </c>
      <c r="B211" s="3"/>
      <c r="C211" s="109">
        <v>2.82</v>
      </c>
      <c r="D211" s="60" t="s">
        <v>38</v>
      </c>
      <c r="E211" s="109">
        <v>2.82</v>
      </c>
      <c r="F211" s="61">
        <f t="shared" si="12"/>
        <v>0</v>
      </c>
      <c r="G211" s="12"/>
      <c r="H211" s="268">
        <f t="shared" si="13"/>
        <v>0</v>
      </c>
      <c r="I211" s="62">
        <f t="shared" si="11"/>
        <v>0</v>
      </c>
      <c r="J211" s="34"/>
      <c r="K211" s="63"/>
      <c r="L211" s="64"/>
      <c r="M211" s="64"/>
    </row>
    <row r="212" spans="1:13" x14ac:dyDescent="0.25">
      <c r="A212" s="4" t="s">
        <v>156</v>
      </c>
      <c r="B212" s="3"/>
      <c r="C212" s="109">
        <v>4.22</v>
      </c>
      <c r="D212" s="60" t="s">
        <v>38</v>
      </c>
      <c r="E212" s="109">
        <v>4.22</v>
      </c>
      <c r="F212" s="61">
        <f t="shared" si="12"/>
        <v>0</v>
      </c>
      <c r="G212" s="12"/>
      <c r="H212" s="268">
        <f t="shared" si="13"/>
        <v>0</v>
      </c>
      <c r="I212" s="62">
        <f t="shared" si="11"/>
        <v>0</v>
      </c>
      <c r="J212" s="34"/>
      <c r="K212" s="63"/>
      <c r="L212" s="64"/>
      <c r="M212" s="64"/>
    </row>
    <row r="213" spans="1:13" x14ac:dyDescent="0.25">
      <c r="A213" s="4" t="s">
        <v>157</v>
      </c>
      <c r="B213" s="3"/>
      <c r="C213" s="109">
        <v>4.22</v>
      </c>
      <c r="D213" s="60" t="s">
        <v>38</v>
      </c>
      <c r="E213" s="109">
        <v>4.22</v>
      </c>
      <c r="F213" s="61">
        <f t="shared" si="12"/>
        <v>0</v>
      </c>
      <c r="G213" s="12"/>
      <c r="H213" s="268">
        <f t="shared" si="13"/>
        <v>0</v>
      </c>
      <c r="I213" s="62">
        <f t="shared" si="11"/>
        <v>0</v>
      </c>
      <c r="J213" s="34"/>
      <c r="K213" s="63"/>
      <c r="L213" s="64"/>
      <c r="M213" s="64"/>
    </row>
    <row r="214" spans="1:13" x14ac:dyDescent="0.25">
      <c r="A214" s="4" t="s">
        <v>158</v>
      </c>
      <c r="B214" s="3"/>
      <c r="C214" s="109">
        <v>2.82</v>
      </c>
      <c r="D214" s="60" t="s">
        <v>38</v>
      </c>
      <c r="E214" s="109">
        <v>2.82</v>
      </c>
      <c r="F214" s="61">
        <f t="shared" si="12"/>
        <v>0</v>
      </c>
      <c r="G214" s="12"/>
      <c r="H214" s="268">
        <f t="shared" si="13"/>
        <v>0</v>
      </c>
      <c r="I214" s="62">
        <f t="shared" si="11"/>
        <v>0</v>
      </c>
      <c r="J214" s="34"/>
      <c r="K214" s="63"/>
      <c r="L214" s="64"/>
      <c r="M214" s="64"/>
    </row>
    <row r="215" spans="1:13" x14ac:dyDescent="0.25">
      <c r="A215" s="4" t="s">
        <v>159</v>
      </c>
      <c r="B215" s="3"/>
      <c r="C215" s="109">
        <v>2.82</v>
      </c>
      <c r="D215" s="60" t="s">
        <v>38</v>
      </c>
      <c r="E215" s="109">
        <v>2.82</v>
      </c>
      <c r="F215" s="61">
        <f t="shared" si="12"/>
        <v>0</v>
      </c>
      <c r="G215" s="12"/>
      <c r="H215" s="268">
        <f t="shared" si="13"/>
        <v>0</v>
      </c>
      <c r="I215" s="62">
        <f t="shared" si="11"/>
        <v>0</v>
      </c>
      <c r="J215" s="34"/>
      <c r="K215" s="63"/>
      <c r="L215" s="64"/>
      <c r="M215" s="64"/>
    </row>
    <row r="216" spans="1:13" x14ac:dyDescent="0.25">
      <c r="A216" s="4" t="s">
        <v>252</v>
      </c>
      <c r="B216" s="3"/>
      <c r="C216" s="109">
        <v>4.22</v>
      </c>
      <c r="D216" s="60" t="s">
        <v>38</v>
      </c>
      <c r="E216" s="109">
        <v>4.22</v>
      </c>
      <c r="F216" s="61">
        <f t="shared" si="12"/>
        <v>0</v>
      </c>
      <c r="G216" s="12"/>
      <c r="H216" s="268">
        <f t="shared" si="13"/>
        <v>0</v>
      </c>
      <c r="I216" s="62">
        <f t="shared" si="11"/>
        <v>0</v>
      </c>
      <c r="J216" s="34"/>
      <c r="K216" s="63"/>
      <c r="L216" s="64"/>
      <c r="M216" s="64"/>
    </row>
    <row r="217" spans="1:13" x14ac:dyDescent="0.25">
      <c r="A217" s="114" t="s">
        <v>160</v>
      </c>
      <c r="B217" s="92"/>
      <c r="C217" s="34"/>
      <c r="D217" s="32"/>
      <c r="E217" s="63"/>
      <c r="F217" s="112"/>
      <c r="G217" s="12"/>
      <c r="H217" s="268">
        <f t="shared" si="13"/>
        <v>0</v>
      </c>
      <c r="I217" s="62">
        <f t="shared" si="11"/>
        <v>0</v>
      </c>
      <c r="J217" s="34"/>
      <c r="K217" s="63"/>
      <c r="L217" s="64"/>
      <c r="M217" s="64"/>
    </row>
    <row r="218" spans="1:13" x14ac:dyDescent="0.25">
      <c r="A218" s="115" t="s">
        <v>223</v>
      </c>
      <c r="B218" s="3"/>
      <c r="C218" s="109">
        <v>4.22</v>
      </c>
      <c r="D218" s="60" t="s">
        <v>213</v>
      </c>
      <c r="E218" s="109">
        <v>4.22</v>
      </c>
      <c r="F218" s="61">
        <f>IF($B$257="Y",B218*E218*22,B218*C218*22)</f>
        <v>0</v>
      </c>
      <c r="G218" s="12"/>
      <c r="H218" s="268">
        <f t="shared" si="13"/>
        <v>0</v>
      </c>
      <c r="I218" s="62">
        <f t="shared" si="11"/>
        <v>0</v>
      </c>
      <c r="J218" s="34"/>
      <c r="K218" s="63"/>
      <c r="L218" s="64"/>
      <c r="M218" s="64"/>
    </row>
    <row r="219" spans="1:13" x14ac:dyDescent="0.25">
      <c r="A219" s="115" t="s">
        <v>224</v>
      </c>
      <c r="B219" s="3"/>
      <c r="C219" s="109">
        <v>4.22</v>
      </c>
      <c r="D219" s="60" t="s">
        <v>213</v>
      </c>
      <c r="E219" s="109">
        <v>4.22</v>
      </c>
      <c r="F219" s="61">
        <f>IF($B$257="Y",B219*E219*32,B219*C219*32)</f>
        <v>0</v>
      </c>
      <c r="G219" s="12"/>
      <c r="H219" s="268">
        <f t="shared" si="13"/>
        <v>0</v>
      </c>
      <c r="I219" s="62">
        <f t="shared" si="11"/>
        <v>0</v>
      </c>
      <c r="J219" s="34"/>
      <c r="K219" s="63"/>
      <c r="L219" s="64"/>
      <c r="M219" s="64"/>
    </row>
    <row r="220" spans="1:13" x14ac:dyDescent="0.25">
      <c r="A220" s="115" t="s">
        <v>225</v>
      </c>
      <c r="B220" s="3"/>
      <c r="C220" s="109">
        <v>4.22</v>
      </c>
      <c r="D220" s="60" t="s">
        <v>213</v>
      </c>
      <c r="E220" s="109">
        <v>4.22</v>
      </c>
      <c r="F220" s="61">
        <f>IF($B$257="Y",B220*E220*35,B220*C220*35)</f>
        <v>0</v>
      </c>
      <c r="G220" s="12"/>
      <c r="H220" s="268">
        <f t="shared" si="13"/>
        <v>0</v>
      </c>
      <c r="I220" s="62">
        <f t="shared" ref="I220:I254" si="14">B220*E220</f>
        <v>0</v>
      </c>
      <c r="J220" s="34"/>
      <c r="K220" s="63"/>
      <c r="L220" s="64"/>
      <c r="M220" s="64"/>
    </row>
    <row r="221" spans="1:13" x14ac:dyDescent="0.25">
      <c r="A221" s="115" t="s">
        <v>226</v>
      </c>
      <c r="B221" s="3"/>
      <c r="C221" s="109">
        <v>4.22</v>
      </c>
      <c r="D221" s="60" t="s">
        <v>213</v>
      </c>
      <c r="E221" s="109">
        <v>4.22</v>
      </c>
      <c r="F221" s="61">
        <f>IF($B$257="Y",B221*E221*31,B221*C221*31)</f>
        <v>0</v>
      </c>
      <c r="G221" s="12"/>
      <c r="H221" s="268">
        <f t="shared" si="13"/>
        <v>0</v>
      </c>
      <c r="I221" s="62">
        <f t="shared" si="14"/>
        <v>0</v>
      </c>
      <c r="J221" s="34"/>
      <c r="K221" s="63"/>
      <c r="L221" s="64"/>
      <c r="M221" s="64"/>
    </row>
    <row r="222" spans="1:13" x14ac:dyDescent="0.25">
      <c r="A222" s="115" t="s">
        <v>227</v>
      </c>
      <c r="B222" s="3"/>
      <c r="C222" s="109">
        <v>4.22</v>
      </c>
      <c r="D222" s="60" t="s">
        <v>213</v>
      </c>
      <c r="E222" s="109">
        <v>4.22</v>
      </c>
      <c r="F222" s="61">
        <f>IF($B$257="Y",B222*E222*24,B222*C222*24)</f>
        <v>0</v>
      </c>
      <c r="G222" s="12"/>
      <c r="H222" s="268">
        <f t="shared" si="13"/>
        <v>0</v>
      </c>
      <c r="I222" s="62">
        <f t="shared" si="14"/>
        <v>0</v>
      </c>
      <c r="J222" s="34"/>
      <c r="K222" s="63"/>
    </row>
    <row r="223" spans="1:13" x14ac:dyDescent="0.25">
      <c r="A223" s="115" t="s">
        <v>228</v>
      </c>
      <c r="B223" s="3"/>
      <c r="C223" s="109">
        <v>4.22</v>
      </c>
      <c r="D223" s="60" t="s">
        <v>213</v>
      </c>
      <c r="E223" s="109">
        <v>4.22</v>
      </c>
      <c r="F223" s="61">
        <f>IF($B$257="Y",B223*E223*15,B223*C223*15)</f>
        <v>0</v>
      </c>
      <c r="G223" s="12"/>
      <c r="H223" s="268">
        <f t="shared" si="13"/>
        <v>0</v>
      </c>
      <c r="I223" s="62">
        <f t="shared" si="14"/>
        <v>0</v>
      </c>
      <c r="J223" s="34"/>
      <c r="K223" s="63"/>
    </row>
    <row r="224" spans="1:13" x14ac:dyDescent="0.25">
      <c r="A224" s="4" t="s">
        <v>161</v>
      </c>
      <c r="B224" s="3"/>
      <c r="C224" s="109">
        <v>4.93</v>
      </c>
      <c r="D224" s="60" t="s">
        <v>38</v>
      </c>
      <c r="E224" s="109">
        <v>4.93</v>
      </c>
      <c r="F224" s="61">
        <f t="shared" ref="F224:F245" si="15">IF($B$257="Y",B224*E224,B224*C224)</f>
        <v>0</v>
      </c>
      <c r="G224" s="12"/>
      <c r="H224" s="268">
        <f t="shared" si="13"/>
        <v>0</v>
      </c>
      <c r="I224" s="62">
        <f t="shared" si="14"/>
        <v>0</v>
      </c>
      <c r="J224" s="34"/>
      <c r="K224" s="63"/>
    </row>
    <row r="225" spans="1:11" x14ac:dyDescent="0.25">
      <c r="A225" s="4" t="s">
        <v>162</v>
      </c>
      <c r="B225" s="3"/>
      <c r="C225" s="109">
        <v>2.82</v>
      </c>
      <c r="D225" s="60" t="s">
        <v>38</v>
      </c>
      <c r="E225" s="109">
        <v>2.82</v>
      </c>
      <c r="F225" s="61">
        <f t="shared" si="15"/>
        <v>0</v>
      </c>
      <c r="G225" s="12"/>
      <c r="H225" s="268">
        <f t="shared" si="13"/>
        <v>0</v>
      </c>
      <c r="I225" s="62">
        <f t="shared" si="14"/>
        <v>0</v>
      </c>
      <c r="J225" s="34"/>
      <c r="K225" s="63"/>
    </row>
    <row r="226" spans="1:11" x14ac:dyDescent="0.25">
      <c r="A226" s="4" t="s">
        <v>163</v>
      </c>
      <c r="B226" s="3"/>
      <c r="C226" s="109">
        <v>2.82</v>
      </c>
      <c r="D226" s="60" t="s">
        <v>38</v>
      </c>
      <c r="E226" s="109">
        <v>2.82</v>
      </c>
      <c r="F226" s="61">
        <f t="shared" si="15"/>
        <v>0</v>
      </c>
      <c r="G226" s="12"/>
      <c r="H226" s="268">
        <f t="shared" si="13"/>
        <v>0</v>
      </c>
      <c r="I226" s="62">
        <f t="shared" si="14"/>
        <v>0</v>
      </c>
      <c r="J226" s="34"/>
      <c r="K226" s="63"/>
    </row>
    <row r="227" spans="1:11" x14ac:dyDescent="0.25">
      <c r="A227" s="4" t="s">
        <v>164</v>
      </c>
      <c r="B227" s="3"/>
      <c r="C227" s="109">
        <v>2.82</v>
      </c>
      <c r="D227" s="60" t="s">
        <v>38</v>
      </c>
      <c r="E227" s="109">
        <v>2.82</v>
      </c>
      <c r="F227" s="61">
        <f t="shared" si="15"/>
        <v>0</v>
      </c>
      <c r="G227" s="12"/>
      <c r="H227" s="268">
        <f t="shared" si="13"/>
        <v>0</v>
      </c>
      <c r="I227" s="62">
        <f t="shared" si="14"/>
        <v>0</v>
      </c>
      <c r="J227" s="34"/>
      <c r="K227" s="63"/>
    </row>
    <row r="228" spans="1:11" x14ac:dyDescent="0.25">
      <c r="A228" s="4" t="s">
        <v>165</v>
      </c>
      <c r="B228" s="3"/>
      <c r="C228" s="109">
        <v>2.82</v>
      </c>
      <c r="D228" s="60" t="s">
        <v>38</v>
      </c>
      <c r="E228" s="109">
        <v>2.82</v>
      </c>
      <c r="F228" s="61">
        <f t="shared" si="15"/>
        <v>0</v>
      </c>
      <c r="G228" s="12"/>
      <c r="H228" s="268">
        <f t="shared" si="13"/>
        <v>0</v>
      </c>
      <c r="I228" s="62">
        <f t="shared" si="14"/>
        <v>0</v>
      </c>
      <c r="J228" s="34"/>
      <c r="K228" s="63"/>
    </row>
    <row r="229" spans="1:11" x14ac:dyDescent="0.25">
      <c r="A229" s="113" t="s">
        <v>166</v>
      </c>
      <c r="B229" s="3"/>
      <c r="C229" s="109">
        <v>3.17</v>
      </c>
      <c r="D229" s="60" t="s">
        <v>38</v>
      </c>
      <c r="E229" s="109">
        <v>3.17</v>
      </c>
      <c r="F229" s="61">
        <f t="shared" si="15"/>
        <v>0</v>
      </c>
      <c r="G229" s="12"/>
      <c r="H229" s="268">
        <f t="shared" si="13"/>
        <v>0</v>
      </c>
      <c r="I229" s="62">
        <f t="shared" si="14"/>
        <v>0</v>
      </c>
      <c r="J229" s="34"/>
      <c r="K229" s="63"/>
    </row>
    <row r="230" spans="1:11" x14ac:dyDescent="0.25">
      <c r="A230" s="113" t="s">
        <v>167</v>
      </c>
      <c r="B230" s="3"/>
      <c r="C230" s="109">
        <v>3.17</v>
      </c>
      <c r="D230" s="60" t="s">
        <v>38</v>
      </c>
      <c r="E230" s="109">
        <v>3.17</v>
      </c>
      <c r="F230" s="61">
        <f t="shared" si="15"/>
        <v>0</v>
      </c>
      <c r="G230" s="12"/>
      <c r="H230" s="268">
        <f t="shared" si="13"/>
        <v>0</v>
      </c>
      <c r="I230" s="62">
        <f t="shared" si="14"/>
        <v>0</v>
      </c>
      <c r="J230" s="34"/>
      <c r="K230" s="63"/>
    </row>
    <row r="231" spans="1:11" x14ac:dyDescent="0.25">
      <c r="A231" s="113" t="s">
        <v>168</v>
      </c>
      <c r="B231" s="3"/>
      <c r="C231" s="109">
        <v>3.52</v>
      </c>
      <c r="D231" s="60" t="s">
        <v>38</v>
      </c>
      <c r="E231" s="109">
        <v>3.52</v>
      </c>
      <c r="F231" s="61">
        <f t="shared" si="15"/>
        <v>0</v>
      </c>
      <c r="G231" s="12"/>
      <c r="H231" s="268">
        <f t="shared" si="13"/>
        <v>0</v>
      </c>
      <c r="I231" s="62">
        <f t="shared" si="14"/>
        <v>0</v>
      </c>
      <c r="J231" s="34"/>
      <c r="K231" s="63"/>
    </row>
    <row r="232" spans="1:11" x14ac:dyDescent="0.25">
      <c r="A232" s="113" t="s">
        <v>169</v>
      </c>
      <c r="B232" s="3"/>
      <c r="C232" s="109">
        <v>3.52</v>
      </c>
      <c r="D232" s="60" t="s">
        <v>38</v>
      </c>
      <c r="E232" s="109">
        <v>3.52</v>
      </c>
      <c r="F232" s="61">
        <f t="shared" si="15"/>
        <v>0</v>
      </c>
      <c r="G232" s="12"/>
      <c r="H232" s="268">
        <f t="shared" si="13"/>
        <v>0</v>
      </c>
      <c r="I232" s="62">
        <f t="shared" si="14"/>
        <v>0</v>
      </c>
      <c r="J232" s="34"/>
      <c r="K232" s="63"/>
    </row>
    <row r="233" spans="1:11" x14ac:dyDescent="0.25">
      <c r="A233" s="4" t="s">
        <v>170</v>
      </c>
      <c r="B233" s="3"/>
      <c r="C233" s="109">
        <v>3.17</v>
      </c>
      <c r="D233" s="60" t="s">
        <v>38</v>
      </c>
      <c r="E233" s="109">
        <v>3.17</v>
      </c>
      <c r="F233" s="61">
        <f t="shared" si="15"/>
        <v>0</v>
      </c>
      <c r="G233" s="12"/>
      <c r="H233" s="268">
        <f t="shared" si="13"/>
        <v>0</v>
      </c>
      <c r="I233" s="62">
        <f t="shared" si="14"/>
        <v>0</v>
      </c>
      <c r="J233" s="34"/>
      <c r="K233" s="63"/>
    </row>
    <row r="234" spans="1:11" x14ac:dyDescent="0.25">
      <c r="A234" s="4" t="s">
        <v>171</v>
      </c>
      <c r="B234" s="3"/>
      <c r="C234" s="109">
        <v>3.17</v>
      </c>
      <c r="D234" s="60" t="s">
        <v>38</v>
      </c>
      <c r="E234" s="109">
        <v>3.17</v>
      </c>
      <c r="F234" s="61">
        <f t="shared" si="15"/>
        <v>0</v>
      </c>
      <c r="G234" s="12"/>
      <c r="H234" s="268">
        <f t="shared" si="13"/>
        <v>0</v>
      </c>
      <c r="I234" s="62">
        <f t="shared" si="14"/>
        <v>0</v>
      </c>
      <c r="J234" s="34"/>
      <c r="K234" s="63"/>
    </row>
    <row r="235" spans="1:11" x14ac:dyDescent="0.25">
      <c r="A235" s="4" t="s">
        <v>172</v>
      </c>
      <c r="B235" s="3"/>
      <c r="C235" s="109">
        <v>2.82</v>
      </c>
      <c r="D235" s="60" t="s">
        <v>38</v>
      </c>
      <c r="E235" s="109">
        <v>2.82</v>
      </c>
      <c r="F235" s="61">
        <f t="shared" si="15"/>
        <v>0</v>
      </c>
      <c r="G235" s="12"/>
      <c r="H235" s="268">
        <f t="shared" si="13"/>
        <v>0</v>
      </c>
      <c r="I235" s="62">
        <f t="shared" si="14"/>
        <v>0</v>
      </c>
      <c r="J235" s="34"/>
      <c r="K235" s="63"/>
    </row>
    <row r="236" spans="1:11" x14ac:dyDescent="0.25">
      <c r="A236" s="4" t="s">
        <v>173</v>
      </c>
      <c r="B236" s="3"/>
      <c r="C236" s="109">
        <v>6.34</v>
      </c>
      <c r="D236" s="60" t="s">
        <v>38</v>
      </c>
      <c r="E236" s="109">
        <v>6.34</v>
      </c>
      <c r="F236" s="61">
        <f t="shared" si="15"/>
        <v>0</v>
      </c>
      <c r="G236" s="12"/>
      <c r="H236" s="268">
        <f t="shared" si="13"/>
        <v>0</v>
      </c>
      <c r="I236" s="62">
        <f t="shared" si="14"/>
        <v>0</v>
      </c>
      <c r="J236" s="34"/>
      <c r="K236" s="63"/>
    </row>
    <row r="237" spans="1:11" x14ac:dyDescent="0.25">
      <c r="A237" s="4" t="s">
        <v>174</v>
      </c>
      <c r="B237" s="3"/>
      <c r="C237" s="109">
        <v>6.34</v>
      </c>
      <c r="D237" s="60" t="s">
        <v>38</v>
      </c>
      <c r="E237" s="109">
        <v>6.34</v>
      </c>
      <c r="F237" s="61">
        <f t="shared" si="15"/>
        <v>0</v>
      </c>
      <c r="G237" s="12"/>
      <c r="H237" s="268">
        <f t="shared" si="13"/>
        <v>0</v>
      </c>
      <c r="I237" s="62">
        <f t="shared" si="14"/>
        <v>0</v>
      </c>
      <c r="J237" s="34"/>
      <c r="K237" s="63"/>
    </row>
    <row r="238" spans="1:11" x14ac:dyDescent="0.25">
      <c r="A238" s="4" t="s">
        <v>175</v>
      </c>
      <c r="B238" s="3"/>
      <c r="C238" s="109">
        <v>6.34</v>
      </c>
      <c r="D238" s="60" t="s">
        <v>38</v>
      </c>
      <c r="E238" s="109">
        <v>6.34</v>
      </c>
      <c r="F238" s="61">
        <f t="shared" si="15"/>
        <v>0</v>
      </c>
      <c r="G238" s="12"/>
      <c r="H238" s="268">
        <f t="shared" si="13"/>
        <v>0</v>
      </c>
      <c r="I238" s="62">
        <f t="shared" si="14"/>
        <v>0</v>
      </c>
      <c r="J238" s="34"/>
      <c r="K238" s="63"/>
    </row>
    <row r="239" spans="1:11" x14ac:dyDescent="0.25">
      <c r="A239" s="4" t="s">
        <v>176</v>
      </c>
      <c r="B239" s="3"/>
      <c r="C239" s="109">
        <v>6.34</v>
      </c>
      <c r="D239" s="60" t="s">
        <v>38</v>
      </c>
      <c r="E239" s="109">
        <v>6.34</v>
      </c>
      <c r="F239" s="61">
        <f t="shared" si="15"/>
        <v>0</v>
      </c>
      <c r="G239" s="12"/>
      <c r="H239" s="268">
        <f t="shared" si="13"/>
        <v>0</v>
      </c>
      <c r="I239" s="62">
        <f t="shared" si="14"/>
        <v>0</v>
      </c>
      <c r="J239" s="34"/>
      <c r="K239" s="63"/>
    </row>
    <row r="240" spans="1:11" x14ac:dyDescent="0.25">
      <c r="A240" s="4" t="s">
        <v>177</v>
      </c>
      <c r="B240" s="3"/>
      <c r="C240" s="109">
        <v>4.22</v>
      </c>
      <c r="D240" s="60" t="s">
        <v>38</v>
      </c>
      <c r="E240" s="109">
        <v>4.22</v>
      </c>
      <c r="F240" s="61">
        <f t="shared" si="15"/>
        <v>0</v>
      </c>
      <c r="G240" s="12"/>
      <c r="H240" s="268">
        <f t="shared" si="13"/>
        <v>0</v>
      </c>
      <c r="I240" s="62">
        <f t="shared" si="14"/>
        <v>0</v>
      </c>
      <c r="J240" s="34"/>
      <c r="K240" s="63"/>
    </row>
    <row r="241" spans="1:11" x14ac:dyDescent="0.25">
      <c r="A241" s="4" t="s">
        <v>178</v>
      </c>
      <c r="B241" s="3"/>
      <c r="C241" s="109">
        <v>5.63</v>
      </c>
      <c r="D241" s="60" t="s">
        <v>38</v>
      </c>
      <c r="E241" s="109">
        <v>5.63</v>
      </c>
      <c r="F241" s="61">
        <f t="shared" si="15"/>
        <v>0</v>
      </c>
      <c r="G241" s="12"/>
      <c r="H241" s="268">
        <f t="shared" si="13"/>
        <v>0</v>
      </c>
      <c r="I241" s="62">
        <f t="shared" si="14"/>
        <v>0</v>
      </c>
      <c r="J241" s="34"/>
      <c r="K241" s="63"/>
    </row>
    <row r="242" spans="1:11" x14ac:dyDescent="0.25">
      <c r="A242" s="4" t="s">
        <v>179</v>
      </c>
      <c r="B242" s="3"/>
      <c r="C242" s="109">
        <v>5.63</v>
      </c>
      <c r="D242" s="60" t="s">
        <v>38</v>
      </c>
      <c r="E242" s="109">
        <v>5.63</v>
      </c>
      <c r="F242" s="61">
        <f t="shared" si="15"/>
        <v>0</v>
      </c>
      <c r="G242" s="12"/>
      <c r="H242" s="268">
        <f t="shared" si="13"/>
        <v>0</v>
      </c>
      <c r="I242" s="62">
        <f t="shared" si="14"/>
        <v>0</v>
      </c>
      <c r="J242" s="34"/>
      <c r="K242" s="63"/>
    </row>
    <row r="243" spans="1:11" x14ac:dyDescent="0.25">
      <c r="A243" s="4" t="s">
        <v>180</v>
      </c>
      <c r="B243" s="3"/>
      <c r="C243" s="109">
        <v>2.82</v>
      </c>
      <c r="D243" s="60" t="s">
        <v>38</v>
      </c>
      <c r="E243" s="109">
        <v>2.82</v>
      </c>
      <c r="F243" s="61">
        <f t="shared" si="15"/>
        <v>0</v>
      </c>
      <c r="G243" s="12"/>
      <c r="H243" s="268">
        <f t="shared" si="13"/>
        <v>0</v>
      </c>
      <c r="I243" s="62">
        <f t="shared" si="14"/>
        <v>0</v>
      </c>
      <c r="J243" s="34"/>
      <c r="K243" s="63"/>
    </row>
    <row r="244" spans="1:11" x14ac:dyDescent="0.25">
      <c r="A244" s="4" t="s">
        <v>181</v>
      </c>
      <c r="B244" s="3"/>
      <c r="C244" s="109">
        <v>2.82</v>
      </c>
      <c r="D244" s="60" t="s">
        <v>38</v>
      </c>
      <c r="E244" s="109">
        <v>2.82</v>
      </c>
      <c r="F244" s="61">
        <f t="shared" si="15"/>
        <v>0</v>
      </c>
      <c r="G244" s="12"/>
      <c r="H244" s="268">
        <f t="shared" si="13"/>
        <v>0</v>
      </c>
      <c r="I244" s="62">
        <f t="shared" si="14"/>
        <v>0</v>
      </c>
      <c r="J244" s="34"/>
      <c r="K244" s="63"/>
    </row>
    <row r="245" spans="1:11" x14ac:dyDescent="0.25">
      <c r="A245" s="4" t="s">
        <v>253</v>
      </c>
      <c r="B245" s="3"/>
      <c r="C245" s="109">
        <v>5.63</v>
      </c>
      <c r="D245" s="60" t="s">
        <v>38</v>
      </c>
      <c r="E245" s="109">
        <v>5.63</v>
      </c>
      <c r="F245" s="61">
        <f t="shared" si="15"/>
        <v>0</v>
      </c>
      <c r="G245" s="12"/>
      <c r="H245" s="268">
        <f t="shared" si="13"/>
        <v>0</v>
      </c>
      <c r="I245" s="62">
        <f t="shared" si="14"/>
        <v>0</v>
      </c>
      <c r="J245" s="34"/>
      <c r="K245" s="63"/>
    </row>
    <row r="246" spans="1:11" x14ac:dyDescent="0.25">
      <c r="A246" s="114" t="s">
        <v>182</v>
      </c>
      <c r="B246" s="92"/>
      <c r="C246" s="116"/>
      <c r="D246" s="32"/>
      <c r="E246" s="117"/>
      <c r="F246" s="112"/>
      <c r="G246" s="12"/>
      <c r="H246" s="268">
        <f t="shared" si="13"/>
        <v>0</v>
      </c>
      <c r="I246" s="62">
        <f t="shared" si="14"/>
        <v>0</v>
      </c>
      <c r="J246" s="34"/>
      <c r="K246" s="63"/>
    </row>
    <row r="247" spans="1:11" x14ac:dyDescent="0.25">
      <c r="A247" s="115" t="s">
        <v>223</v>
      </c>
      <c r="B247" s="3"/>
      <c r="C247" s="109">
        <v>5.63</v>
      </c>
      <c r="D247" s="60" t="s">
        <v>213</v>
      </c>
      <c r="E247" s="109">
        <v>5.63</v>
      </c>
      <c r="F247" s="61">
        <f>IF($B$257="Y",B247*E247*22,B247*C247*22)</f>
        <v>0</v>
      </c>
      <c r="G247" s="12"/>
      <c r="H247" s="268">
        <f t="shared" si="13"/>
        <v>0</v>
      </c>
      <c r="I247" s="62">
        <f t="shared" si="14"/>
        <v>0</v>
      </c>
      <c r="J247" s="34"/>
      <c r="K247" s="63"/>
    </row>
    <row r="248" spans="1:11" x14ac:dyDescent="0.25">
      <c r="A248" s="115" t="s">
        <v>224</v>
      </c>
      <c r="B248" s="3"/>
      <c r="C248" s="109">
        <v>5.63</v>
      </c>
      <c r="D248" s="60" t="s">
        <v>213</v>
      </c>
      <c r="E248" s="109">
        <v>5.63</v>
      </c>
      <c r="F248" s="61">
        <f>IF($B$257="Y",B248*E248*32,B248*C248*32)</f>
        <v>0</v>
      </c>
      <c r="G248" s="12"/>
      <c r="H248" s="268">
        <f t="shared" si="13"/>
        <v>0</v>
      </c>
      <c r="I248" s="62">
        <f t="shared" si="14"/>
        <v>0</v>
      </c>
      <c r="J248" s="34"/>
      <c r="K248" s="63"/>
    </row>
    <row r="249" spans="1:11" x14ac:dyDescent="0.25">
      <c r="A249" s="115" t="s">
        <v>225</v>
      </c>
      <c r="B249" s="3"/>
      <c r="C249" s="109">
        <v>5.63</v>
      </c>
      <c r="D249" s="60" t="s">
        <v>213</v>
      </c>
      <c r="E249" s="109">
        <v>5.63</v>
      </c>
      <c r="F249" s="61">
        <f>IF($B$257="Y",B249*E249*35,B249*C249*35)</f>
        <v>0</v>
      </c>
      <c r="G249" s="12"/>
      <c r="H249" s="268">
        <f t="shared" si="13"/>
        <v>0</v>
      </c>
      <c r="I249" s="62">
        <f t="shared" si="14"/>
        <v>0</v>
      </c>
      <c r="J249" s="34"/>
      <c r="K249" s="63"/>
    </row>
    <row r="250" spans="1:11" x14ac:dyDescent="0.25">
      <c r="A250" s="115" t="s">
        <v>226</v>
      </c>
      <c r="B250" s="3"/>
      <c r="C250" s="109">
        <v>5.63</v>
      </c>
      <c r="D250" s="60" t="s">
        <v>213</v>
      </c>
      <c r="E250" s="109">
        <v>5.63</v>
      </c>
      <c r="F250" s="61">
        <f>IF($B$257="Y",B250*E250*31,B250*C250*31)</f>
        <v>0</v>
      </c>
      <c r="G250" s="12"/>
      <c r="H250" s="268">
        <f t="shared" si="13"/>
        <v>0</v>
      </c>
      <c r="I250" s="62">
        <f t="shared" si="14"/>
        <v>0</v>
      </c>
      <c r="J250" s="34"/>
      <c r="K250" s="63"/>
    </row>
    <row r="251" spans="1:11" x14ac:dyDescent="0.25">
      <c r="A251" s="115" t="s">
        <v>227</v>
      </c>
      <c r="B251" s="3"/>
      <c r="C251" s="109">
        <v>5.63</v>
      </c>
      <c r="D251" s="60" t="s">
        <v>213</v>
      </c>
      <c r="E251" s="109">
        <v>5.63</v>
      </c>
      <c r="F251" s="61">
        <f>IF($B$257="Y",B251*E251*24,B251*C251*24)</f>
        <v>0</v>
      </c>
      <c r="G251" s="12"/>
      <c r="H251" s="268">
        <f t="shared" si="13"/>
        <v>0</v>
      </c>
      <c r="I251" s="62">
        <f t="shared" si="14"/>
        <v>0</v>
      </c>
      <c r="J251" s="34"/>
      <c r="K251" s="63"/>
    </row>
    <row r="252" spans="1:11" x14ac:dyDescent="0.25">
      <c r="A252" s="115" t="s">
        <v>228</v>
      </c>
      <c r="B252" s="3"/>
      <c r="C252" s="109">
        <v>5.63</v>
      </c>
      <c r="D252" s="60" t="s">
        <v>213</v>
      </c>
      <c r="E252" s="109">
        <v>5.63</v>
      </c>
      <c r="F252" s="61">
        <f>IF($B$257="Y",B252*E252*15,B252*C252*15)</f>
        <v>0</v>
      </c>
      <c r="G252" s="12"/>
      <c r="H252" s="268">
        <f t="shared" si="13"/>
        <v>0</v>
      </c>
      <c r="I252" s="62">
        <f t="shared" si="14"/>
        <v>0</v>
      </c>
      <c r="J252" s="34"/>
      <c r="K252" s="63"/>
    </row>
    <row r="253" spans="1:11" x14ac:dyDescent="0.25">
      <c r="A253" s="4" t="s">
        <v>183</v>
      </c>
      <c r="B253" s="3"/>
      <c r="C253" s="109">
        <v>4.22</v>
      </c>
      <c r="D253" s="60" t="s">
        <v>38</v>
      </c>
      <c r="E253" s="109">
        <v>4.22</v>
      </c>
      <c r="F253" s="61">
        <f>IF($B$257="Y",B253*E253,B253*C253)</f>
        <v>0</v>
      </c>
      <c r="G253" s="12"/>
      <c r="H253" s="268">
        <f t="shared" si="13"/>
        <v>0</v>
      </c>
      <c r="I253" s="62">
        <f t="shared" si="14"/>
        <v>0</v>
      </c>
      <c r="J253" s="34"/>
      <c r="K253" s="63"/>
    </row>
    <row r="254" spans="1:11" x14ac:dyDescent="0.25">
      <c r="A254" s="118"/>
      <c r="B254" s="94"/>
      <c r="C254" s="307" t="s">
        <v>218</v>
      </c>
      <c r="D254" s="308"/>
      <c r="E254" s="309"/>
      <c r="F254" s="119">
        <f>SUM(F188:F253)</f>
        <v>0</v>
      </c>
      <c r="G254" s="96" t="s">
        <v>45</v>
      </c>
      <c r="H254" s="268"/>
      <c r="I254" s="62">
        <f t="shared" si="14"/>
        <v>0</v>
      </c>
      <c r="J254" s="34"/>
      <c r="K254" s="63"/>
    </row>
    <row r="255" spans="1:11" ht="13.5" thickBot="1" x14ac:dyDescent="0.3">
      <c r="A255" s="118"/>
      <c r="B255" s="94"/>
      <c r="C255" s="94"/>
      <c r="D255" s="94"/>
      <c r="E255" s="94"/>
      <c r="F255" s="120"/>
      <c r="G255" s="12"/>
      <c r="H255" s="12"/>
      <c r="I255" s="62"/>
      <c r="J255" s="34"/>
      <c r="K255" s="63"/>
    </row>
    <row r="256" spans="1:11" ht="13.5" thickBot="1" x14ac:dyDescent="0.3">
      <c r="C256" s="294" t="s">
        <v>287</v>
      </c>
      <c r="D256" s="295"/>
      <c r="E256" s="296"/>
      <c r="F256" s="122">
        <f>F168+F175+F182+F254</f>
        <v>0</v>
      </c>
      <c r="G256" s="96" t="s">
        <v>44</v>
      </c>
      <c r="H256" s="123">
        <f>SUM(H71:H255)</f>
        <v>0</v>
      </c>
      <c r="I256" s="123">
        <f>SUM(I71:I255)</f>
        <v>0</v>
      </c>
      <c r="J256" s="124" t="str">
        <f>IF(F256&gt;50000,"Y","N")</f>
        <v>N</v>
      </c>
      <c r="K256" s="125"/>
    </row>
    <row r="257" spans="1:13" hidden="1" x14ac:dyDescent="0.25">
      <c r="A257" s="256" t="s">
        <v>285</v>
      </c>
      <c r="B257" s="2" t="str">
        <f>IF(H256&gt;50000,"Y","N")</f>
        <v>N</v>
      </c>
      <c r="C257" s="34"/>
      <c r="D257" s="34"/>
      <c r="E257" s="126"/>
      <c r="F257" s="97"/>
      <c r="G257" s="96" t="s">
        <v>219</v>
      </c>
      <c r="H257" s="96"/>
      <c r="I257" s="127"/>
      <c r="J257" s="124"/>
      <c r="K257" s="125"/>
    </row>
    <row r="258" spans="1:13" hidden="1" x14ac:dyDescent="0.25">
      <c r="A258" s="257" t="s">
        <v>286</v>
      </c>
      <c r="B258" s="92"/>
      <c r="C258" s="34"/>
      <c r="D258" s="34"/>
      <c r="E258" s="126"/>
      <c r="F258" s="97"/>
      <c r="G258" s="12"/>
      <c r="H258" s="12"/>
      <c r="I258" s="127"/>
      <c r="J258" s="124"/>
      <c r="K258" s="125"/>
    </row>
    <row r="259" spans="1:13" x14ac:dyDescent="0.25">
      <c r="A259" s="126"/>
      <c r="B259" s="92"/>
      <c r="C259" s="34"/>
      <c r="D259" s="34"/>
      <c r="E259" s="126"/>
      <c r="F259" s="97"/>
      <c r="G259" s="12"/>
      <c r="H259" s="12"/>
      <c r="I259" s="127"/>
      <c r="J259" s="124"/>
      <c r="K259" s="125"/>
    </row>
    <row r="260" spans="1:13" x14ac:dyDescent="0.2">
      <c r="A260" s="291" t="s">
        <v>194</v>
      </c>
      <c r="B260" s="292"/>
      <c r="C260" s="292"/>
      <c r="D260" s="292"/>
      <c r="E260" s="292"/>
      <c r="F260" s="293"/>
      <c r="G260" s="12"/>
      <c r="H260" s="12"/>
      <c r="I260" s="127"/>
      <c r="J260" s="124"/>
      <c r="K260" s="125"/>
    </row>
    <row r="261" spans="1:13" x14ac:dyDescent="0.25">
      <c r="A261" s="128" t="s">
        <v>234</v>
      </c>
      <c r="B261" s="2" t="s">
        <v>291</v>
      </c>
      <c r="C261" s="129"/>
      <c r="D261" s="130"/>
      <c r="E261" s="126" t="s">
        <v>63</v>
      </c>
      <c r="F261" s="131">
        <f>IF(B261="Y",0.05*F256,0)</f>
        <v>0</v>
      </c>
      <c r="G261" s="96" t="s">
        <v>46</v>
      </c>
      <c r="H261" s="96"/>
      <c r="I261" s="127"/>
      <c r="J261" s="124"/>
      <c r="K261" s="125"/>
    </row>
    <row r="262" spans="1:13" x14ac:dyDescent="0.25">
      <c r="A262" s="132" t="s">
        <v>233</v>
      </c>
      <c r="C262" s="129"/>
      <c r="D262" s="34"/>
      <c r="E262" s="126" t="s">
        <v>64</v>
      </c>
      <c r="F262" s="61">
        <f>0.15*(F256+F261)</f>
        <v>0</v>
      </c>
      <c r="G262" s="96" t="s">
        <v>47</v>
      </c>
      <c r="H262" s="96"/>
      <c r="I262" s="133"/>
      <c r="J262" s="124"/>
      <c r="K262" s="125"/>
    </row>
    <row r="263" spans="1:13" x14ac:dyDescent="0.25">
      <c r="A263" s="134"/>
      <c r="B263" s="135"/>
      <c r="C263" s="34"/>
      <c r="D263" s="34"/>
      <c r="E263" s="126" t="s">
        <v>65</v>
      </c>
      <c r="F263" s="61">
        <f>0.12*(F256+F261+F262)</f>
        <v>0</v>
      </c>
      <c r="G263" s="96" t="s">
        <v>48</v>
      </c>
      <c r="H263" s="96"/>
      <c r="I263" s="127"/>
      <c r="J263" s="124"/>
      <c r="K263" s="125"/>
    </row>
    <row r="264" spans="1:13" x14ac:dyDescent="0.25">
      <c r="A264" s="51"/>
      <c r="B264" s="33"/>
      <c r="C264" s="34"/>
      <c r="D264" s="34"/>
      <c r="E264" s="126" t="s">
        <v>66</v>
      </c>
      <c r="F264" s="61">
        <f>SUM(F256:F263)</f>
        <v>0</v>
      </c>
      <c r="G264" s="96" t="s">
        <v>50</v>
      </c>
      <c r="H264" s="96"/>
      <c r="I264" s="127"/>
      <c r="J264" s="124"/>
      <c r="K264" s="125"/>
    </row>
    <row r="265" spans="1:13" x14ac:dyDescent="0.25">
      <c r="A265" s="136"/>
      <c r="B265" s="135"/>
      <c r="C265" s="34"/>
      <c r="D265" s="34"/>
      <c r="E265" s="126" t="s">
        <v>240</v>
      </c>
      <c r="F265" s="137" t="e">
        <f>tables!A43</f>
        <v>#N/A</v>
      </c>
      <c r="G265" s="96" t="s">
        <v>49</v>
      </c>
      <c r="H265" s="96"/>
      <c r="I265" s="127"/>
      <c r="J265" s="124"/>
      <c r="K265" s="125"/>
      <c r="M265" s="138"/>
    </row>
    <row r="266" spans="1:13" x14ac:dyDescent="0.25">
      <c r="A266" s="51"/>
      <c r="B266" s="33"/>
      <c r="C266" s="34"/>
      <c r="D266" s="34"/>
      <c r="E266" s="139" t="s">
        <v>188</v>
      </c>
      <c r="F266" s="140" t="e">
        <f>IF(I266&lt;I267,0,I266)</f>
        <v>#N/A</v>
      </c>
      <c r="G266" s="96" t="s">
        <v>51</v>
      </c>
      <c r="H266" s="96"/>
      <c r="I266" s="140" t="e">
        <f>ROUNDUP(F264+F265,-2)</f>
        <v>#N/A</v>
      </c>
      <c r="J266" s="124"/>
      <c r="K266" s="125"/>
    </row>
    <row r="267" spans="1:13" x14ac:dyDescent="0.25">
      <c r="A267" s="141"/>
      <c r="B267" s="142"/>
      <c r="C267" s="76"/>
      <c r="D267" s="143"/>
      <c r="E267" s="144"/>
      <c r="F267" s="145" t="s">
        <v>62</v>
      </c>
      <c r="G267" s="12"/>
      <c r="H267" s="12"/>
      <c r="I267" s="127">
        <v>20000</v>
      </c>
      <c r="J267" s="124"/>
      <c r="K267" s="125"/>
    </row>
    <row r="268" spans="1:13" x14ac:dyDescent="0.25">
      <c r="A268" s="13"/>
      <c r="B268" s="15"/>
      <c r="C268" s="16"/>
      <c r="D268" s="24"/>
      <c r="E268" s="146"/>
      <c r="F268" s="147"/>
      <c r="G268" s="12"/>
      <c r="H268" s="12"/>
      <c r="I268" s="127"/>
      <c r="J268" s="124"/>
      <c r="K268" s="125"/>
    </row>
    <row r="269" spans="1:13" x14ac:dyDescent="0.25">
      <c r="A269" s="13"/>
      <c r="B269" s="15"/>
      <c r="C269" s="16"/>
      <c r="D269" s="24"/>
      <c r="E269" s="146"/>
      <c r="F269" s="147"/>
      <c r="G269" s="12"/>
      <c r="H269" s="12"/>
      <c r="I269" s="127"/>
      <c r="J269" s="124"/>
      <c r="K269" s="125"/>
    </row>
    <row r="270" spans="1:13" x14ac:dyDescent="0.2">
      <c r="A270" s="291" t="s">
        <v>195</v>
      </c>
      <c r="B270" s="292"/>
      <c r="C270" s="292"/>
      <c r="D270" s="292"/>
      <c r="E270" s="292"/>
      <c r="F270" s="293"/>
      <c r="G270" s="12"/>
      <c r="H270" s="12"/>
      <c r="I270" s="127"/>
      <c r="J270" s="124"/>
      <c r="K270" s="125"/>
    </row>
    <row r="271" spans="1:13" x14ac:dyDescent="0.25">
      <c r="A271" s="48" t="s">
        <v>0</v>
      </c>
      <c r="B271" s="49" t="s">
        <v>1</v>
      </c>
      <c r="C271" s="297" t="s">
        <v>2</v>
      </c>
      <c r="D271" s="275"/>
      <c r="E271" s="276"/>
      <c r="F271" s="50" t="s">
        <v>3</v>
      </c>
      <c r="G271" s="12"/>
      <c r="H271" s="12"/>
      <c r="I271" s="127"/>
      <c r="J271" s="124"/>
      <c r="K271" s="125"/>
      <c r="L271" s="34"/>
      <c r="M271" s="64"/>
    </row>
    <row r="272" spans="1:13" x14ac:dyDescent="0.25">
      <c r="A272" s="51"/>
      <c r="B272" s="33"/>
      <c r="C272" s="303" t="s">
        <v>39</v>
      </c>
      <c r="D272" s="303"/>
      <c r="E272" s="101" t="s">
        <v>40</v>
      </c>
      <c r="F272" s="79"/>
      <c r="G272" s="12"/>
      <c r="H272" s="12"/>
      <c r="I272" s="127"/>
      <c r="J272" s="124"/>
      <c r="K272" s="125"/>
    </row>
    <row r="273" spans="1:11" x14ac:dyDescent="0.25">
      <c r="A273" s="148" t="s">
        <v>189</v>
      </c>
      <c r="B273" s="3"/>
      <c r="C273" s="149">
        <v>741.23</v>
      </c>
      <c r="D273" s="150" t="s">
        <v>213</v>
      </c>
      <c r="E273" s="151">
        <v>741.23</v>
      </c>
      <c r="F273" s="152">
        <f>IF($B$257="YES",B273*E273,B273*C273)</f>
        <v>0</v>
      </c>
      <c r="G273" s="12"/>
      <c r="H273" s="12"/>
      <c r="I273" s="127"/>
      <c r="J273" s="124"/>
      <c r="K273" s="125"/>
    </row>
    <row r="274" spans="1:11" x14ac:dyDescent="0.25">
      <c r="A274" s="51"/>
      <c r="B274" s="34"/>
      <c r="C274" s="34"/>
      <c r="D274" s="126"/>
      <c r="E274" s="147" t="s">
        <v>58</v>
      </c>
      <c r="F274" s="153">
        <f>F273</f>
        <v>0</v>
      </c>
      <c r="G274" s="96" t="s">
        <v>57</v>
      </c>
      <c r="H274" s="96"/>
      <c r="I274" s="154"/>
      <c r="J274" s="155"/>
      <c r="K274" s="155"/>
    </row>
    <row r="275" spans="1:11" x14ac:dyDescent="0.25">
      <c r="A275" s="51"/>
      <c r="B275" s="129"/>
      <c r="C275" s="34"/>
      <c r="D275" s="130"/>
      <c r="E275" s="126" t="s">
        <v>59</v>
      </c>
      <c r="F275" s="153">
        <f>(0.15*F274)</f>
        <v>0</v>
      </c>
      <c r="G275" s="96" t="s">
        <v>52</v>
      </c>
      <c r="H275" s="96"/>
      <c r="I275" s="156"/>
      <c r="J275" s="155"/>
      <c r="K275" s="155"/>
    </row>
    <row r="276" spans="1:11" x14ac:dyDescent="0.25">
      <c r="A276" s="51"/>
      <c r="B276" s="34"/>
      <c r="C276" s="34"/>
      <c r="D276" s="130"/>
      <c r="E276" s="126" t="s">
        <v>60</v>
      </c>
      <c r="F276" s="153">
        <f>0.12*(F274+F275)</f>
        <v>0</v>
      </c>
      <c r="G276" s="96" t="s">
        <v>53</v>
      </c>
      <c r="H276" s="96"/>
      <c r="I276" s="156"/>
      <c r="J276" s="155"/>
      <c r="K276" s="155"/>
    </row>
    <row r="277" spans="1:11" x14ac:dyDescent="0.25">
      <c r="A277" s="51"/>
      <c r="B277" s="34"/>
      <c r="C277" s="34"/>
      <c r="D277" s="130"/>
      <c r="E277" s="126" t="s">
        <v>61</v>
      </c>
      <c r="F277" s="153">
        <f>SUM(F274:F276)</f>
        <v>0</v>
      </c>
      <c r="G277" s="96" t="s">
        <v>54</v>
      </c>
      <c r="H277" s="96"/>
      <c r="I277" s="156"/>
      <c r="J277" s="155"/>
      <c r="K277" s="155"/>
    </row>
    <row r="278" spans="1:11" hidden="1" x14ac:dyDescent="0.25">
      <c r="A278" s="51"/>
      <c r="B278" s="34"/>
      <c r="C278" s="34"/>
      <c r="D278" s="130"/>
      <c r="E278" s="126" t="s">
        <v>240</v>
      </c>
      <c r="F278" s="137">
        <f>tables!B43</f>
        <v>0</v>
      </c>
      <c r="G278" s="96" t="s">
        <v>55</v>
      </c>
      <c r="H278" s="96"/>
      <c r="I278" s="156"/>
      <c r="J278" s="155"/>
      <c r="K278" s="155"/>
    </row>
    <row r="279" spans="1:11" x14ac:dyDescent="0.25">
      <c r="A279" s="51"/>
      <c r="B279" s="34"/>
      <c r="C279" s="34"/>
      <c r="D279" s="130"/>
      <c r="E279" s="139" t="s">
        <v>298</v>
      </c>
      <c r="F279" s="157">
        <f>ROUNDUP(F277,-2)</f>
        <v>0</v>
      </c>
      <c r="G279" s="96" t="s">
        <v>56</v>
      </c>
      <c r="H279" s="96"/>
      <c r="I279" s="156"/>
      <c r="J279" s="155"/>
      <c r="K279" s="155"/>
    </row>
    <row r="280" spans="1:11" x14ac:dyDescent="0.25">
      <c r="A280" s="141"/>
      <c r="B280" s="76"/>
      <c r="C280" s="76"/>
      <c r="D280" s="158"/>
      <c r="E280" s="159"/>
      <c r="F280" s="145" t="s">
        <v>62</v>
      </c>
      <c r="G280" s="12"/>
      <c r="H280" s="12"/>
      <c r="I280" s="156"/>
      <c r="J280" s="155"/>
      <c r="K280" s="155"/>
    </row>
    <row r="281" spans="1:11" x14ac:dyDescent="0.25">
      <c r="A281" s="32"/>
      <c r="B281" s="34"/>
      <c r="C281" s="34"/>
      <c r="D281" s="126"/>
      <c r="E281" s="64"/>
      <c r="F281" s="160"/>
      <c r="G281" s="12"/>
      <c r="H281" s="12"/>
      <c r="I281" s="156"/>
      <c r="J281" s="155"/>
      <c r="K281" s="155"/>
    </row>
    <row r="282" spans="1:11" x14ac:dyDescent="0.25">
      <c r="A282" s="32"/>
      <c r="B282" s="33"/>
      <c r="C282" s="34"/>
      <c r="D282" s="34"/>
      <c r="E282" s="161"/>
      <c r="F282" s="32"/>
      <c r="G282" s="12"/>
      <c r="H282" s="12"/>
      <c r="I282" s="156"/>
      <c r="J282" s="155"/>
      <c r="K282" s="155"/>
    </row>
    <row r="283" spans="1:11" x14ac:dyDescent="0.2">
      <c r="A283" s="291" t="s">
        <v>288</v>
      </c>
      <c r="B283" s="292"/>
      <c r="C283" s="292"/>
      <c r="D283" s="292"/>
      <c r="E283" s="292"/>
      <c r="F283" s="293"/>
      <c r="G283" s="12"/>
      <c r="H283" s="12"/>
      <c r="I283" s="156"/>
      <c r="J283" s="155"/>
      <c r="K283" s="155"/>
    </row>
    <row r="284" spans="1:11" ht="13.5" customHeight="1" x14ac:dyDescent="0.25">
      <c r="A284" s="162"/>
      <c r="B284" s="64"/>
      <c r="C284" s="64"/>
      <c r="D284" s="163"/>
      <c r="E284" s="126" t="s">
        <v>299</v>
      </c>
      <c r="F284" s="164">
        <f>((F168+F182)*1.15)</f>
        <v>0</v>
      </c>
      <c r="G284" s="96" t="s">
        <v>67</v>
      </c>
      <c r="H284" s="96"/>
      <c r="I284" s="156"/>
      <c r="J284" s="155"/>
      <c r="K284" s="155"/>
    </row>
    <row r="285" spans="1:11" x14ac:dyDescent="0.25">
      <c r="A285" s="141"/>
      <c r="B285" s="142"/>
      <c r="C285" s="76"/>
      <c r="D285" s="165"/>
      <c r="E285" s="166" t="s">
        <v>241</v>
      </c>
      <c r="F285" s="140" t="e">
        <f>tables!A22</f>
        <v>#N/A</v>
      </c>
      <c r="G285" s="96" t="s">
        <v>68</v>
      </c>
      <c r="H285" s="96"/>
      <c r="I285" s="156"/>
      <c r="J285" s="155"/>
      <c r="K285" s="155"/>
    </row>
    <row r="286" spans="1:11" ht="14.25" x14ac:dyDescent="0.25">
      <c r="A286" s="167" t="s">
        <v>243</v>
      </c>
      <c r="B286" s="64"/>
      <c r="C286" s="64"/>
      <c r="D286" s="64"/>
      <c r="E286" s="32"/>
      <c r="F286" s="32"/>
      <c r="G286" s="12"/>
      <c r="H286" s="12"/>
      <c r="I286" s="156"/>
      <c r="J286" s="155"/>
      <c r="K286" s="155"/>
    </row>
    <row r="287" spans="1:11" x14ac:dyDescent="0.25">
      <c r="A287" s="64"/>
      <c r="B287" s="168"/>
      <c r="C287" s="130"/>
      <c r="D287" s="130"/>
      <c r="E287" s="64"/>
      <c r="F287" s="64"/>
      <c r="I287" s="155"/>
      <c r="J287" s="155"/>
      <c r="K287" s="155"/>
    </row>
    <row r="288" spans="1:11" x14ac:dyDescent="0.25">
      <c r="A288" s="13"/>
      <c r="B288" s="15"/>
      <c r="C288" s="16"/>
      <c r="D288" s="16"/>
      <c r="E288" s="13"/>
      <c r="F288" s="13"/>
    </row>
    <row r="289" spans="1:6" x14ac:dyDescent="0.25">
      <c r="A289" s="299" t="s">
        <v>309</v>
      </c>
      <c r="B289" s="300"/>
      <c r="C289" s="300"/>
      <c r="D289" s="300"/>
      <c r="E289" s="300"/>
      <c r="F289" s="301"/>
    </row>
    <row r="290" spans="1:6" x14ac:dyDescent="0.25">
      <c r="A290" s="170" t="s">
        <v>33</v>
      </c>
      <c r="B290" s="302" t="s">
        <v>34</v>
      </c>
      <c r="C290" s="302"/>
      <c r="D290" s="130"/>
      <c r="E290" s="130"/>
      <c r="F290" s="171"/>
    </row>
    <row r="291" spans="1:6" x14ac:dyDescent="0.25">
      <c r="A291" s="172" t="s">
        <v>271</v>
      </c>
      <c r="B291" s="173">
        <f>tables!C6</f>
        <v>1359</v>
      </c>
      <c r="C291" s="175"/>
      <c r="D291" s="176"/>
      <c r="E291" s="177"/>
      <c r="F291" s="174"/>
    </row>
    <row r="292" spans="1:6" x14ac:dyDescent="0.25">
      <c r="A292" s="172" t="s">
        <v>191</v>
      </c>
      <c r="B292" s="178">
        <f>tables!C7</f>
        <v>1359</v>
      </c>
      <c r="C292" s="175" t="s">
        <v>229</v>
      </c>
      <c r="D292" s="179">
        <f>tables!D7</f>
        <v>18</v>
      </c>
      <c r="E292" s="177" t="s">
        <v>231</v>
      </c>
      <c r="F292" s="180">
        <v>25000</v>
      </c>
    </row>
    <row r="293" spans="1:6" x14ac:dyDescent="0.25">
      <c r="A293" s="181" t="s">
        <v>35</v>
      </c>
      <c r="B293" s="242">
        <f>tables!C8</f>
        <v>2719</v>
      </c>
      <c r="C293" s="182" t="s">
        <v>229</v>
      </c>
      <c r="D293" s="183">
        <f>tables!D8</f>
        <v>18</v>
      </c>
      <c r="E293" s="184" t="s">
        <v>231</v>
      </c>
      <c r="F293" s="185">
        <v>100000</v>
      </c>
    </row>
    <row r="294" spans="1:6" x14ac:dyDescent="0.25">
      <c r="A294" s="186" t="s">
        <v>282</v>
      </c>
    </row>
    <row r="295" spans="1:6" x14ac:dyDescent="0.25">
      <c r="A295" s="186" t="s">
        <v>283</v>
      </c>
      <c r="B295" s="33"/>
      <c r="C295" s="34"/>
      <c r="D295" s="34"/>
      <c r="E295" s="32"/>
      <c r="F295" s="32"/>
    </row>
    <row r="296" spans="1:6" x14ac:dyDescent="0.25">
      <c r="A296" s="304"/>
      <c r="B296" s="305"/>
      <c r="C296" s="305"/>
      <c r="D296" s="305"/>
      <c r="E296" s="305"/>
      <c r="F296" s="32"/>
    </row>
    <row r="297" spans="1:6" x14ac:dyDescent="0.25">
      <c r="A297" s="13"/>
      <c r="B297" s="33"/>
      <c r="C297" s="34"/>
      <c r="D297" s="34"/>
      <c r="E297" s="32"/>
      <c r="F297" s="32"/>
    </row>
    <row r="298" spans="1:6" x14ac:dyDescent="0.25">
      <c r="A298" s="32"/>
      <c r="B298" s="33"/>
      <c r="C298" s="34"/>
      <c r="D298" s="34"/>
      <c r="E298" s="32"/>
      <c r="F298" s="32"/>
    </row>
    <row r="299" spans="1:6" x14ac:dyDescent="0.25">
      <c r="A299" s="299" t="s">
        <v>190</v>
      </c>
      <c r="B299" s="300"/>
      <c r="C299" s="300"/>
      <c r="D299" s="300"/>
      <c r="E299" s="300"/>
      <c r="F299" s="301"/>
    </row>
    <row r="300" spans="1:6" x14ac:dyDescent="0.25">
      <c r="A300" s="170" t="s">
        <v>310</v>
      </c>
      <c r="B300" s="298" t="s">
        <v>311</v>
      </c>
      <c r="C300" s="298"/>
      <c r="D300" s="130"/>
      <c r="E300" s="130"/>
      <c r="F300" s="187"/>
    </row>
    <row r="301" spans="1:6" x14ac:dyDescent="0.25">
      <c r="A301" s="172" t="s">
        <v>271</v>
      </c>
      <c r="B301" s="246">
        <v>7.4999999999999997E-2</v>
      </c>
      <c r="C301" s="130" t="s">
        <v>278</v>
      </c>
      <c r="D301" s="130"/>
      <c r="E301" s="130"/>
      <c r="F301" s="187"/>
    </row>
    <row r="302" spans="1:6" x14ac:dyDescent="0.25">
      <c r="A302" s="172" t="s">
        <v>191</v>
      </c>
      <c r="B302" s="178">
        <f>tables!C28</f>
        <v>2331</v>
      </c>
      <c r="C302" s="241" t="s">
        <v>273</v>
      </c>
      <c r="E302" s="188" t="s">
        <v>230</v>
      </c>
      <c r="F302" s="180">
        <v>25000</v>
      </c>
    </row>
    <row r="303" spans="1:6" x14ac:dyDescent="0.25">
      <c r="A303" s="181" t="s">
        <v>272</v>
      </c>
      <c r="B303" s="242">
        <f>tables!C29</f>
        <v>4666</v>
      </c>
      <c r="C303" s="243" t="s">
        <v>280</v>
      </c>
      <c r="D303" s="189"/>
      <c r="E303" s="190" t="s">
        <v>230</v>
      </c>
      <c r="F303" s="185">
        <v>100000</v>
      </c>
    </row>
    <row r="305" spans="1:6" x14ac:dyDescent="0.25">
      <c r="A305" s="191" t="s">
        <v>220</v>
      </c>
      <c r="B305" s="192"/>
      <c r="C305" s="16"/>
      <c r="D305" s="16"/>
      <c r="E305" s="13"/>
      <c r="F305" s="13"/>
    </row>
    <row r="306" spans="1:6" x14ac:dyDescent="0.25">
      <c r="A306" s="191" t="s">
        <v>256</v>
      </c>
      <c r="B306" s="192"/>
      <c r="C306" s="16"/>
      <c r="D306" s="16"/>
      <c r="E306" s="13"/>
      <c r="F306" s="13"/>
    </row>
    <row r="307" spans="1:6" x14ac:dyDescent="0.25">
      <c r="A307" s="13"/>
      <c r="B307" s="15"/>
      <c r="C307" s="16"/>
      <c r="D307" s="16"/>
      <c r="E307" s="13"/>
      <c r="F307" s="13"/>
    </row>
    <row r="308" spans="1:6" x14ac:dyDescent="0.25">
      <c r="A308" s="25" t="s">
        <v>249</v>
      </c>
      <c r="B308" s="200">
        <f>tables!D67</f>
        <v>292</v>
      </c>
      <c r="C308" s="16"/>
      <c r="D308" s="16"/>
      <c r="E308" s="13"/>
      <c r="F308" s="13"/>
    </row>
    <row r="309" spans="1:6" x14ac:dyDescent="0.25">
      <c r="A309" s="194" t="s">
        <v>250</v>
      </c>
      <c r="B309" s="200">
        <f>tables!D68</f>
        <v>57</v>
      </c>
      <c r="C309" s="16"/>
      <c r="D309" s="16"/>
      <c r="E309" s="13"/>
      <c r="F309" s="13"/>
    </row>
  </sheetData>
  <sheetProtection algorithmName="SHA-512" hashValue="KcFU7G3S4RWt9wDF+mWk72ZIjJvB99XxJnyu9Gi0yryBECzfCtAjdy1647SjIvvburdIEk2IuYERbCcdDhX9DA==" saltValue="z3aESvHgyqxkAS2JqsrEng==" spinCount="100000" sheet="1" selectLockedCells="1"/>
  <mergeCells count="50">
    <mergeCell ref="B300:C300"/>
    <mergeCell ref="A289:F289"/>
    <mergeCell ref="B290:C290"/>
    <mergeCell ref="C271:E271"/>
    <mergeCell ref="C173:D173"/>
    <mergeCell ref="A178:F178"/>
    <mergeCell ref="C179:E179"/>
    <mergeCell ref="C186:E186"/>
    <mergeCell ref="C187:D187"/>
    <mergeCell ref="A296:E296"/>
    <mergeCell ref="A299:F299"/>
    <mergeCell ref="A260:F260"/>
    <mergeCell ref="C180:D180"/>
    <mergeCell ref="C175:E175"/>
    <mergeCell ref="C254:E254"/>
    <mergeCell ref="C272:D272"/>
    <mergeCell ref="A283:F283"/>
    <mergeCell ref="A270:F270"/>
    <mergeCell ref="C256:E256"/>
    <mergeCell ref="A185:F185"/>
    <mergeCell ref="A171:F171"/>
    <mergeCell ref="C172:E172"/>
    <mergeCell ref="A67:F67"/>
    <mergeCell ref="C68:E68"/>
    <mergeCell ref="B168:E168"/>
    <mergeCell ref="B182:E182"/>
    <mergeCell ref="A1:F1"/>
    <mergeCell ref="A2:F2"/>
    <mergeCell ref="A4:F4"/>
    <mergeCell ref="A3:F3"/>
    <mergeCell ref="C69:D69"/>
    <mergeCell ref="E6:F7"/>
    <mergeCell ref="B42:C42"/>
    <mergeCell ref="B43:C43"/>
    <mergeCell ref="B44:C44"/>
    <mergeCell ref="B45:C45"/>
    <mergeCell ref="B46:C46"/>
    <mergeCell ref="B49:C49"/>
    <mergeCell ref="B50:C50"/>
    <mergeCell ref="B51:C51"/>
    <mergeCell ref="B52:C52"/>
    <mergeCell ref="B55:C55"/>
    <mergeCell ref="B64:C64"/>
    <mergeCell ref="B65:C65"/>
    <mergeCell ref="B56:C56"/>
    <mergeCell ref="B57:C57"/>
    <mergeCell ref="B58:C58"/>
    <mergeCell ref="B60:C60"/>
    <mergeCell ref="B63:C63"/>
    <mergeCell ref="B59:C59"/>
  </mergeCells>
  <conditionalFormatting sqref="A34:A36">
    <cfRule type="expression" dxfId="0" priority="1">
      <formula>$B$33="Y"</formula>
    </cfRule>
  </conditionalFormatting>
  <dataValidations disablePrompts="1" count="1">
    <dataValidation type="list" allowBlank="1" showInputMessage="1" showErrorMessage="1" sqref="B261 B257 B33" xr:uid="{00000000-0002-0000-0000-000000000000}">
      <formula1>"Y,N"</formula1>
    </dataValidation>
  </dataValidations>
  <printOptions horizontalCentered="1"/>
  <pageMargins left="0.25" right="0.25" top="0.5" bottom="0.6" header="0.23" footer="0.17"/>
  <pageSetup scale="85" fitToHeight="0" orientation="portrait" r:id="rId1"/>
  <headerFooter>
    <oddFooter>&amp;C&amp;"Arial,Regular"&amp;8Page &amp;P of &amp;N</oddFooter>
  </headerFooter>
  <rowBreaks count="3" manualBreakCount="3">
    <brk id="66" max="6" man="1"/>
    <brk id="153" max="6" man="1"/>
    <brk id="28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3:R72"/>
  <sheetViews>
    <sheetView topLeftCell="A16" zoomScale="115" zoomScaleNormal="115" workbookViewId="0">
      <selection activeCell="A35" sqref="A35"/>
    </sheetView>
  </sheetViews>
  <sheetFormatPr defaultRowHeight="15" x14ac:dyDescent="0.25"/>
  <cols>
    <col min="1" max="1" width="16.28515625" customWidth="1"/>
    <col min="2" max="6" width="12.7109375" customWidth="1"/>
    <col min="9" max="9" width="19.28515625" customWidth="1"/>
    <col min="10" max="14" width="9.140625" customWidth="1"/>
    <col min="15" max="15" width="11.5703125" customWidth="1"/>
    <col min="16" max="19" width="9.140625" customWidth="1"/>
  </cols>
  <sheetData>
    <row r="3" spans="1:18" ht="15.75" thickBot="1" x14ac:dyDescent="0.3"/>
    <row r="4" spans="1:18" ht="16.5" thickTop="1" thickBot="1" x14ac:dyDescent="0.3">
      <c r="A4" s="312" t="s">
        <v>276</v>
      </c>
      <c r="B4" s="313"/>
      <c r="C4" s="313"/>
      <c r="D4" s="313"/>
      <c r="E4" s="313"/>
      <c r="F4" s="314"/>
      <c r="I4" s="259" t="s">
        <v>289</v>
      </c>
      <c r="M4" s="312" t="s">
        <v>276</v>
      </c>
      <c r="N4" s="313"/>
      <c r="O4" s="313"/>
      <c r="P4" s="313"/>
      <c r="Q4" s="313"/>
      <c r="R4" s="314"/>
    </row>
    <row r="5" spans="1:18" ht="15.75" thickTop="1" x14ac:dyDescent="0.25">
      <c r="A5" s="202" t="s">
        <v>259</v>
      </c>
      <c r="B5" s="203" t="s">
        <v>259</v>
      </c>
      <c r="C5" s="204" t="s">
        <v>260</v>
      </c>
      <c r="D5" s="204" t="s">
        <v>261</v>
      </c>
      <c r="E5" s="203" t="s">
        <v>269</v>
      </c>
      <c r="F5" s="205" t="s">
        <v>262</v>
      </c>
      <c r="I5" s="260">
        <v>4.9299999999999997E-2</v>
      </c>
      <c r="M5" s="202" t="s">
        <v>259</v>
      </c>
      <c r="N5" s="203" t="s">
        <v>259</v>
      </c>
      <c r="O5" s="204" t="s">
        <v>260</v>
      </c>
      <c r="P5" s="204" t="s">
        <v>261</v>
      </c>
      <c r="Q5" s="203" t="s">
        <v>269</v>
      </c>
      <c r="R5" s="205" t="s">
        <v>262</v>
      </c>
    </row>
    <row r="6" spans="1:18" x14ac:dyDescent="0.25">
      <c r="A6" s="206">
        <v>1</v>
      </c>
      <c r="B6" s="207">
        <v>25000</v>
      </c>
      <c r="C6" s="208">
        <v>1359</v>
      </c>
      <c r="D6" s="209"/>
      <c r="E6" s="210"/>
      <c r="F6" s="211"/>
      <c r="M6" s="206">
        <v>1</v>
      </c>
      <c r="N6" s="207">
        <v>25000</v>
      </c>
      <c r="O6" s="208">
        <v>1218</v>
      </c>
      <c r="P6" s="209"/>
      <c r="Q6" s="210"/>
      <c r="R6" s="211"/>
    </row>
    <row r="7" spans="1:18" x14ac:dyDescent="0.25">
      <c r="A7" s="212">
        <v>25000.01</v>
      </c>
      <c r="B7" s="207">
        <v>100000</v>
      </c>
      <c r="C7" s="208">
        <v>1359</v>
      </c>
      <c r="D7" s="261">
        <v>18</v>
      </c>
      <c r="E7" s="214">
        <v>1000</v>
      </c>
      <c r="F7" s="211">
        <v>25000</v>
      </c>
      <c r="M7" s="212">
        <v>25000.01</v>
      </c>
      <c r="N7" s="207">
        <v>100000</v>
      </c>
      <c r="O7" s="208">
        <v>1218</v>
      </c>
      <c r="P7" s="213">
        <v>15.88</v>
      </c>
      <c r="Q7" s="214">
        <v>1000</v>
      </c>
      <c r="R7" s="211">
        <v>25000</v>
      </c>
    </row>
    <row r="8" spans="1:18" x14ac:dyDescent="0.25">
      <c r="A8" s="215">
        <v>100000.01</v>
      </c>
      <c r="B8" s="216"/>
      <c r="C8" s="208">
        <v>2719</v>
      </c>
      <c r="D8" s="261">
        <v>18</v>
      </c>
      <c r="E8" s="218">
        <v>1000</v>
      </c>
      <c r="F8" s="219">
        <v>100000</v>
      </c>
      <c r="M8" s="215">
        <v>100000.01</v>
      </c>
      <c r="N8" s="216"/>
      <c r="O8" s="217">
        <v>2408</v>
      </c>
      <c r="P8" s="213">
        <v>16.18</v>
      </c>
      <c r="Q8" s="218">
        <v>1000</v>
      </c>
      <c r="R8" s="219">
        <v>100000</v>
      </c>
    </row>
    <row r="9" spans="1:18" x14ac:dyDescent="0.25">
      <c r="A9" s="215"/>
      <c r="B9" s="216"/>
      <c r="C9" s="217"/>
      <c r="D9" s="213"/>
      <c r="E9" s="218"/>
      <c r="F9" s="219"/>
      <c r="M9" s="215"/>
      <c r="N9" s="216"/>
      <c r="O9" s="217"/>
      <c r="P9" s="213"/>
      <c r="Q9" s="218"/>
      <c r="R9" s="219"/>
    </row>
    <row r="10" spans="1:18" x14ac:dyDescent="0.25">
      <c r="A10" s="215"/>
      <c r="B10" s="216"/>
      <c r="C10" s="217"/>
      <c r="D10" s="213"/>
      <c r="E10" s="218"/>
      <c r="F10" s="220"/>
      <c r="M10" s="215"/>
      <c r="N10" s="216"/>
      <c r="O10" s="217"/>
      <c r="P10" s="213"/>
      <c r="Q10" s="218"/>
      <c r="R10" s="220"/>
    </row>
    <row r="11" spans="1:18" x14ac:dyDescent="0.25">
      <c r="A11" s="215"/>
      <c r="B11" s="216"/>
      <c r="C11" s="217"/>
      <c r="D11" s="213"/>
      <c r="E11" s="218"/>
      <c r="F11" s="220"/>
      <c r="M11" s="215"/>
      <c r="N11" s="216"/>
      <c r="O11" s="217"/>
      <c r="P11" s="213"/>
      <c r="Q11" s="218"/>
      <c r="R11" s="220"/>
    </row>
    <row r="12" spans="1:18" x14ac:dyDescent="0.25">
      <c r="A12" s="215"/>
      <c r="B12" s="216"/>
      <c r="C12" s="217"/>
      <c r="D12" s="213"/>
      <c r="E12" s="218"/>
      <c r="F12" s="220"/>
      <c r="M12" s="215"/>
      <c r="N12" s="216"/>
      <c r="O12" s="217"/>
      <c r="P12" s="213"/>
      <c r="Q12" s="218"/>
      <c r="R12" s="220"/>
    </row>
    <row r="13" spans="1:18" ht="15.75" thickBot="1" x14ac:dyDescent="0.3">
      <c r="A13" s="221"/>
      <c r="B13" s="222"/>
      <c r="C13" s="223"/>
      <c r="D13" s="224"/>
      <c r="E13" s="225"/>
      <c r="F13" s="226"/>
      <c r="M13" s="221"/>
      <c r="N13" s="222"/>
      <c r="O13" s="223"/>
      <c r="P13" s="224"/>
      <c r="Q13" s="225"/>
      <c r="R13" s="226"/>
    </row>
    <row r="14" spans="1:18" ht="15.75" thickTop="1" x14ac:dyDescent="0.25">
      <c r="A14" s="227"/>
      <c r="B14" s="227"/>
      <c r="C14" s="227"/>
      <c r="D14" s="227"/>
      <c r="E14" s="227"/>
      <c r="F14" s="227"/>
    </row>
    <row r="15" spans="1:18" x14ac:dyDescent="0.25">
      <c r="A15" s="227" t="s">
        <v>263</v>
      </c>
      <c r="B15" s="227"/>
      <c r="C15" s="228"/>
      <c r="D15" s="227"/>
      <c r="E15" s="227"/>
      <c r="F15" s="227"/>
    </row>
    <row r="16" spans="1:18" x14ac:dyDescent="0.25">
      <c r="A16" s="216" t="e">
        <f>VLOOKUP(street!$F$284,$A$6:F13,1)</f>
        <v>#N/A</v>
      </c>
      <c r="B16" s="216" t="e">
        <f>VLOOKUP(street!$F$284,$A$6:F13,2)</f>
        <v>#N/A</v>
      </c>
      <c r="C16" s="263" t="e">
        <f>VLOOKUP(street!$F$284,$A$6:F13,3)</f>
        <v>#N/A</v>
      </c>
      <c r="D16" s="262" t="e">
        <f>VLOOKUP(street!$F$284,$A$6:F13,4)</f>
        <v>#N/A</v>
      </c>
      <c r="E16" s="216" t="e">
        <f>VLOOKUP(street!$F$284,$A$6:F13,5)</f>
        <v>#N/A</v>
      </c>
      <c r="F16" s="216" t="e">
        <f>VLOOKUP(street!$F$284,$A$6:F13,6)</f>
        <v>#N/A</v>
      </c>
    </row>
    <row r="17" spans="1:18" x14ac:dyDescent="0.25">
      <c r="A17" s="216"/>
      <c r="B17" s="216"/>
      <c r="C17" s="229"/>
      <c r="D17" s="230"/>
      <c r="E17" s="218"/>
      <c r="F17" s="231"/>
    </row>
    <row r="18" spans="1:18" x14ac:dyDescent="0.25">
      <c r="A18" s="264" t="e">
        <f>C16</f>
        <v>#N/A</v>
      </c>
      <c r="B18" s="233" t="s">
        <v>264</v>
      </c>
      <c r="C18" s="229"/>
      <c r="D18" s="230"/>
      <c r="E18" s="218"/>
      <c r="F18" s="231"/>
    </row>
    <row r="19" spans="1:18" x14ac:dyDescent="0.25">
      <c r="A19" s="236" t="e">
        <f>street!F284-F16</f>
        <v>#N/A</v>
      </c>
      <c r="B19" s="233" t="s">
        <v>265</v>
      </c>
      <c r="C19" s="229"/>
      <c r="D19" s="230"/>
      <c r="E19" s="218"/>
      <c r="F19" s="231"/>
    </row>
    <row r="20" spans="1:18" x14ac:dyDescent="0.25">
      <c r="A20" s="236" t="e">
        <f>(A19/E16)</f>
        <v>#N/A</v>
      </c>
      <c r="B20" s="233" t="s">
        <v>266</v>
      </c>
      <c r="C20" s="229"/>
      <c r="D20" s="230"/>
      <c r="E20" s="218"/>
      <c r="F20" s="231"/>
    </row>
    <row r="21" spans="1:18" x14ac:dyDescent="0.25">
      <c r="A21" s="232" t="e">
        <f>IF(D16=0,0,A20*D16)</f>
        <v>#N/A</v>
      </c>
      <c r="B21" s="233" t="s">
        <v>267</v>
      </c>
      <c r="C21" s="229"/>
      <c r="D21" s="230"/>
      <c r="E21" s="218"/>
      <c r="F21" s="231"/>
    </row>
    <row r="22" spans="1:18" x14ac:dyDescent="0.25">
      <c r="A22" s="232" t="e">
        <f>A18+A21</f>
        <v>#N/A</v>
      </c>
      <c r="B22" s="235" t="s">
        <v>268</v>
      </c>
      <c r="C22" s="227"/>
      <c r="D22" s="227"/>
      <c r="E22" s="227"/>
      <c r="F22" s="227"/>
    </row>
    <row r="23" spans="1:18" ht="15.75" thickBot="1" x14ac:dyDescent="0.3"/>
    <row r="24" spans="1:18" ht="16.5" thickTop="1" thickBot="1" x14ac:dyDescent="0.3">
      <c r="A24" s="312" t="s">
        <v>275</v>
      </c>
      <c r="B24" s="313"/>
      <c r="C24" s="313"/>
      <c r="D24" s="313"/>
      <c r="E24" s="313"/>
      <c r="F24" s="314"/>
      <c r="M24" s="312" t="s">
        <v>275</v>
      </c>
      <c r="N24" s="313"/>
      <c r="O24" s="313"/>
      <c r="P24" s="313"/>
      <c r="Q24" s="313"/>
      <c r="R24" s="314"/>
    </row>
    <row r="25" spans="1:18" ht="15.75" thickTop="1" x14ac:dyDescent="0.25">
      <c r="A25" s="202" t="s">
        <v>259</v>
      </c>
      <c r="B25" s="203" t="s">
        <v>259</v>
      </c>
      <c r="C25" s="204" t="s">
        <v>260</v>
      </c>
      <c r="D25" s="204" t="s">
        <v>261</v>
      </c>
      <c r="E25" s="203"/>
      <c r="F25" s="205" t="s">
        <v>262</v>
      </c>
      <c r="M25" s="202" t="s">
        <v>259</v>
      </c>
      <c r="N25" s="203" t="s">
        <v>259</v>
      </c>
      <c r="O25" s="204" t="s">
        <v>260</v>
      </c>
      <c r="P25" s="204" t="s">
        <v>261</v>
      </c>
      <c r="Q25" s="203"/>
      <c r="R25" s="205" t="s">
        <v>262</v>
      </c>
    </row>
    <row r="26" spans="1:18" x14ac:dyDescent="0.25">
      <c r="A26">
        <v>0</v>
      </c>
      <c r="B26">
        <v>0.999</v>
      </c>
      <c r="M26">
        <v>0</v>
      </c>
      <c r="N26">
        <v>0.999</v>
      </c>
    </row>
    <row r="27" spans="1:18" x14ac:dyDescent="0.25">
      <c r="A27" s="206">
        <v>1</v>
      </c>
      <c r="B27" s="207">
        <v>25000</v>
      </c>
      <c r="C27" s="237"/>
      <c r="D27" s="237">
        <v>7.4999999999999997E-2</v>
      </c>
      <c r="E27" s="210"/>
      <c r="F27" s="211"/>
      <c r="M27" s="206">
        <v>1</v>
      </c>
      <c r="N27" s="207">
        <v>25000</v>
      </c>
      <c r="O27" s="237"/>
      <c r="P27" s="237">
        <v>7.4999999999999997E-2</v>
      </c>
      <c r="Q27" s="210"/>
      <c r="R27" s="211"/>
    </row>
    <row r="28" spans="1:18" x14ac:dyDescent="0.25">
      <c r="A28" s="212">
        <v>25000.01</v>
      </c>
      <c r="B28" s="207">
        <v>100000</v>
      </c>
      <c r="C28" s="208">
        <v>2331</v>
      </c>
      <c r="D28" s="238">
        <v>2.5000000000000001E-2</v>
      </c>
      <c r="E28" s="214"/>
      <c r="F28" s="211">
        <v>25000</v>
      </c>
      <c r="M28" s="212">
        <v>25000.01</v>
      </c>
      <c r="N28" s="207">
        <v>100000</v>
      </c>
      <c r="O28" s="208">
        <v>2087</v>
      </c>
      <c r="P28" s="238">
        <v>2.5000000000000001E-2</v>
      </c>
      <c r="Q28" s="214"/>
      <c r="R28" s="211">
        <v>25000</v>
      </c>
    </row>
    <row r="29" spans="1:18" x14ac:dyDescent="0.25">
      <c r="A29" s="215">
        <v>100000.01</v>
      </c>
      <c r="B29" s="216"/>
      <c r="C29" s="208">
        <v>4666</v>
      </c>
      <c r="D29" s="238">
        <v>0.02</v>
      </c>
      <c r="E29" s="218"/>
      <c r="F29" s="219">
        <v>100000</v>
      </c>
      <c r="M29" s="215">
        <v>100000.01</v>
      </c>
      <c r="N29" s="216"/>
      <c r="O29" s="217">
        <v>4176</v>
      </c>
      <c r="P29" s="238">
        <v>0.02</v>
      </c>
      <c r="Q29" s="218"/>
      <c r="R29" s="219">
        <v>100000</v>
      </c>
    </row>
    <row r="30" spans="1:18" x14ac:dyDescent="0.25">
      <c r="A30" s="215"/>
      <c r="B30" s="216"/>
      <c r="C30" s="217"/>
      <c r="D30" s="213"/>
      <c r="E30" s="218"/>
      <c r="F30" s="220"/>
      <c r="M30" s="215"/>
      <c r="N30" s="216"/>
      <c r="O30" s="217"/>
      <c r="P30" s="213"/>
      <c r="Q30" s="218"/>
      <c r="R30" s="220"/>
    </row>
    <row r="31" spans="1:18" x14ac:dyDescent="0.25">
      <c r="A31" s="215"/>
      <c r="B31" s="216"/>
      <c r="C31" s="217"/>
      <c r="D31" s="213"/>
      <c r="E31" s="218"/>
      <c r="F31" s="220"/>
      <c r="M31" s="215"/>
      <c r="N31" s="216"/>
      <c r="O31" s="217"/>
      <c r="P31" s="213"/>
      <c r="Q31" s="218"/>
      <c r="R31" s="220"/>
    </row>
    <row r="32" spans="1:18" x14ac:dyDescent="0.25">
      <c r="A32" s="215"/>
      <c r="B32" s="216"/>
      <c r="C32" s="217"/>
      <c r="D32" s="213"/>
      <c r="E32" s="218"/>
      <c r="F32" s="220"/>
      <c r="M32" s="215"/>
      <c r="N32" s="216"/>
      <c r="O32" s="217"/>
      <c r="P32" s="213"/>
      <c r="Q32" s="218"/>
      <c r="R32" s="220"/>
    </row>
    <row r="33" spans="1:18" ht="15.75" thickBot="1" x14ac:dyDescent="0.3">
      <c r="A33" s="221"/>
      <c r="B33" s="222"/>
      <c r="C33" s="223"/>
      <c r="D33" s="224"/>
      <c r="E33" s="225"/>
      <c r="F33" s="226"/>
      <c r="M33" s="221"/>
      <c r="N33" s="222"/>
      <c r="O33" s="223"/>
      <c r="P33" s="224"/>
      <c r="Q33" s="225"/>
      <c r="R33" s="226"/>
    </row>
    <row r="34" spans="1:18" ht="15.75" thickTop="1" x14ac:dyDescent="0.25">
      <c r="A34" s="239">
        <f>street!F256</f>
        <v>0</v>
      </c>
      <c r="B34" s="227" t="s">
        <v>270</v>
      </c>
      <c r="C34" s="227"/>
      <c r="D34" s="227"/>
      <c r="E34" s="227"/>
      <c r="F34" s="227"/>
    </row>
    <row r="35" spans="1:18" x14ac:dyDescent="0.25">
      <c r="A35" s="239">
        <f>street!F277</f>
        <v>0</v>
      </c>
      <c r="B35" s="227"/>
      <c r="C35" s="227"/>
      <c r="D35" s="227"/>
      <c r="E35" s="227"/>
      <c r="F35" s="227"/>
    </row>
    <row r="36" spans="1:18" x14ac:dyDescent="0.25">
      <c r="A36" s="227" t="s">
        <v>263</v>
      </c>
      <c r="B36" s="227"/>
      <c r="C36" s="228"/>
      <c r="D36" s="227"/>
      <c r="E36" s="227"/>
      <c r="F36" s="227"/>
    </row>
    <row r="37" spans="1:18" x14ac:dyDescent="0.25">
      <c r="A37" s="216" t="e">
        <f>VLOOKUP($A$34,$A$27:F33,1)</f>
        <v>#N/A</v>
      </c>
      <c r="B37" s="216" t="e">
        <f>VLOOKUP($A$34,$A$27:F33,2)</f>
        <v>#N/A</v>
      </c>
      <c r="C37" s="229" t="e">
        <f>VLOOKUP($A$34,$A$27:F33,3)</f>
        <v>#N/A</v>
      </c>
      <c r="D37" s="240" t="e">
        <f>VLOOKUP($A$34,$A$27:F33,4)</f>
        <v>#N/A</v>
      </c>
      <c r="E37" s="218" t="e">
        <f>VLOOKUP($A$34,$A$27:F33,5)</f>
        <v>#N/A</v>
      </c>
      <c r="F37" s="231">
        <f>VLOOKUP($A$34,$A$25:F33,6)</f>
        <v>0</v>
      </c>
    </row>
    <row r="38" spans="1:18" x14ac:dyDescent="0.25">
      <c r="A38" s="216">
        <f>VLOOKUP($A$35,$A$26:F33,1)</f>
        <v>0</v>
      </c>
      <c r="B38" s="216">
        <f>VLOOKUP($A$35,$A$26:F33,2)</f>
        <v>0.999</v>
      </c>
      <c r="C38" s="229">
        <f>VLOOKUP($A$35,$A$26:F33,3)</f>
        <v>0</v>
      </c>
      <c r="D38" s="240">
        <f>VLOOKUP($A$35,$A$26:F33,4)</f>
        <v>0</v>
      </c>
      <c r="E38" s="218">
        <f>VLOOKUP($A$35,$A$26:F33,5)</f>
        <v>0</v>
      </c>
      <c r="F38" s="231">
        <f>VLOOKUP($A$35,$A$26:F33,6)</f>
        <v>0</v>
      </c>
    </row>
    <row r="39" spans="1:18" x14ac:dyDescent="0.25">
      <c r="A39" s="232" t="e">
        <f>C37</f>
        <v>#N/A</v>
      </c>
      <c r="B39" s="232">
        <f>C38</f>
        <v>0</v>
      </c>
      <c r="C39" s="233" t="s">
        <v>264</v>
      </c>
      <c r="D39" s="230"/>
      <c r="E39" s="218"/>
      <c r="F39" s="231"/>
    </row>
    <row r="40" spans="1:18" x14ac:dyDescent="0.25">
      <c r="A40" s="234">
        <f>A34-F37</f>
        <v>0</v>
      </c>
      <c r="B40" s="234">
        <f>A35-F38</f>
        <v>0</v>
      </c>
      <c r="C40" s="233" t="s">
        <v>265</v>
      </c>
      <c r="D40" s="230"/>
      <c r="E40" s="218"/>
      <c r="F40" s="231"/>
    </row>
    <row r="41" spans="1:18" x14ac:dyDescent="0.25">
      <c r="A41" s="234"/>
      <c r="B41" s="234"/>
      <c r="C41" s="233"/>
      <c r="D41" s="230"/>
      <c r="E41" s="218"/>
      <c r="F41" s="231"/>
    </row>
    <row r="42" spans="1:18" x14ac:dyDescent="0.25">
      <c r="A42" s="232" t="e">
        <f>A40*D37</f>
        <v>#N/A</v>
      </c>
      <c r="B42" s="232">
        <f>B40*D38</f>
        <v>0</v>
      </c>
      <c r="C42" s="233" t="s">
        <v>267</v>
      </c>
      <c r="D42" s="230"/>
      <c r="E42" s="218"/>
      <c r="F42" s="231"/>
    </row>
    <row r="43" spans="1:18" x14ac:dyDescent="0.25">
      <c r="A43" s="232" t="e">
        <f>A39+A42</f>
        <v>#N/A</v>
      </c>
      <c r="B43" s="232">
        <f>B39+B42</f>
        <v>0</v>
      </c>
      <c r="C43" s="235" t="s">
        <v>268</v>
      </c>
      <c r="D43" s="227"/>
      <c r="E43" s="227"/>
      <c r="F43" s="227"/>
    </row>
    <row r="49" spans="1:18" ht="15.75" thickBot="1" x14ac:dyDescent="0.3"/>
    <row r="50" spans="1:18" ht="16.5" thickTop="1" thickBot="1" x14ac:dyDescent="0.3">
      <c r="A50" s="312" t="s">
        <v>274</v>
      </c>
      <c r="B50" s="313"/>
      <c r="C50" s="313"/>
      <c r="D50" s="313"/>
      <c r="E50" s="313"/>
      <c r="F50" s="314"/>
      <c r="M50" s="312" t="s">
        <v>274</v>
      </c>
      <c r="N50" s="313"/>
      <c r="O50" s="313"/>
      <c r="P50" s="313"/>
      <c r="Q50" s="313"/>
      <c r="R50" s="314"/>
    </row>
    <row r="51" spans="1:18" ht="15.75" thickTop="1" x14ac:dyDescent="0.25">
      <c r="A51" s="202" t="s">
        <v>259</v>
      </c>
      <c r="B51" s="203" t="s">
        <v>259</v>
      </c>
      <c r="C51" s="204" t="s">
        <v>260</v>
      </c>
      <c r="D51" s="204" t="s">
        <v>261</v>
      </c>
      <c r="E51" s="203"/>
      <c r="F51" s="205" t="s">
        <v>262</v>
      </c>
      <c r="M51" s="202" t="s">
        <v>259</v>
      </c>
      <c r="N51" s="203" t="s">
        <v>259</v>
      </c>
      <c r="O51" s="204" t="s">
        <v>260</v>
      </c>
      <c r="P51" s="204" t="s">
        <v>261</v>
      </c>
      <c r="Q51" s="203"/>
      <c r="R51" s="205" t="s">
        <v>262</v>
      </c>
    </row>
    <row r="52" spans="1:18" x14ac:dyDescent="0.25">
      <c r="A52" s="206">
        <v>0</v>
      </c>
      <c r="B52" s="207">
        <v>0.99</v>
      </c>
      <c r="C52" s="244">
        <v>0</v>
      </c>
      <c r="D52" s="237"/>
      <c r="E52" s="210"/>
      <c r="F52" s="211"/>
      <c r="M52" s="206">
        <v>0</v>
      </c>
      <c r="N52" s="207">
        <v>0.99</v>
      </c>
      <c r="O52" s="244">
        <v>0</v>
      </c>
      <c r="P52" s="237"/>
      <c r="Q52" s="210"/>
      <c r="R52" s="211"/>
    </row>
    <row r="53" spans="1:18" x14ac:dyDescent="0.25">
      <c r="A53" s="206">
        <v>1</v>
      </c>
      <c r="B53" s="207">
        <v>15</v>
      </c>
      <c r="C53" s="208">
        <v>2000</v>
      </c>
      <c r="D53" s="238"/>
      <c r="E53" s="214"/>
      <c r="F53" s="211"/>
      <c r="M53" s="206">
        <v>1</v>
      </c>
      <c r="N53" s="207">
        <v>15</v>
      </c>
      <c r="O53" s="244">
        <v>984</v>
      </c>
      <c r="P53" s="238"/>
      <c r="Q53" s="214"/>
      <c r="R53" s="211"/>
    </row>
    <row r="54" spans="1:18" x14ac:dyDescent="0.25">
      <c r="A54" s="212">
        <v>16</v>
      </c>
      <c r="B54" s="207">
        <v>75</v>
      </c>
      <c r="C54" s="208">
        <v>3050</v>
      </c>
      <c r="D54" s="238"/>
      <c r="E54" s="218"/>
      <c r="F54" s="219"/>
      <c r="M54" s="212">
        <v>16</v>
      </c>
      <c r="N54" s="207">
        <v>75</v>
      </c>
      <c r="O54" s="244">
        <v>1709</v>
      </c>
      <c r="P54" s="238"/>
      <c r="Q54" s="218"/>
      <c r="R54" s="219"/>
    </row>
    <row r="55" spans="1:18" x14ac:dyDescent="0.25">
      <c r="A55" s="215">
        <v>76</v>
      </c>
      <c r="B55" s="216"/>
      <c r="C55" s="208">
        <v>4100</v>
      </c>
      <c r="D55" s="213"/>
      <c r="E55" s="218"/>
      <c r="F55" s="219"/>
      <c r="M55" s="215">
        <v>76</v>
      </c>
      <c r="N55" s="216"/>
      <c r="O55" s="245">
        <v>2405</v>
      </c>
      <c r="P55" s="213"/>
      <c r="Q55" s="218"/>
      <c r="R55" s="219"/>
    </row>
    <row r="56" spans="1:18" x14ac:dyDescent="0.25">
      <c r="A56" s="215"/>
      <c r="B56" s="216"/>
      <c r="C56" s="217"/>
      <c r="D56" s="213"/>
      <c r="E56" s="218"/>
      <c r="F56" s="220"/>
      <c r="M56" s="215"/>
      <c r="N56" s="216"/>
      <c r="O56" s="217"/>
      <c r="P56" s="213"/>
      <c r="Q56" s="218"/>
      <c r="R56" s="220"/>
    </row>
    <row r="57" spans="1:18" x14ac:dyDescent="0.25">
      <c r="A57" s="215"/>
      <c r="B57" s="216"/>
      <c r="C57" s="217"/>
      <c r="D57" s="213"/>
      <c r="E57" s="218"/>
      <c r="F57" s="220"/>
      <c r="M57" s="215"/>
      <c r="N57" s="216"/>
      <c r="O57" s="217"/>
      <c r="P57" s="213"/>
      <c r="Q57" s="218"/>
      <c r="R57" s="220"/>
    </row>
    <row r="58" spans="1:18" x14ac:dyDescent="0.25">
      <c r="A58" s="215"/>
      <c r="B58" s="216"/>
      <c r="C58" s="217"/>
      <c r="D58" s="213"/>
      <c r="E58" s="218"/>
      <c r="F58" s="220"/>
      <c r="M58" s="215"/>
      <c r="N58" s="216"/>
      <c r="O58" s="217"/>
      <c r="P58" s="213"/>
      <c r="Q58" s="218"/>
      <c r="R58" s="220"/>
    </row>
    <row r="59" spans="1:18" ht="15.75" thickBot="1" x14ac:dyDescent="0.3">
      <c r="A59" s="221"/>
      <c r="B59" s="222"/>
      <c r="C59" s="223"/>
      <c r="D59" s="224"/>
      <c r="E59" s="225"/>
      <c r="F59" s="226"/>
      <c r="M59" s="221"/>
      <c r="N59" s="222"/>
      <c r="O59" s="223"/>
      <c r="P59" s="224"/>
      <c r="Q59" s="225"/>
      <c r="R59" s="226"/>
    </row>
    <row r="60" spans="1:18" ht="15.75" thickTop="1" x14ac:dyDescent="0.25">
      <c r="A60" s="239"/>
      <c r="B60" s="227"/>
      <c r="C60" s="227"/>
      <c r="D60" s="227"/>
      <c r="E60" s="227"/>
      <c r="F60" s="227"/>
    </row>
    <row r="61" spans="1:18" x14ac:dyDescent="0.25">
      <c r="A61" s="227" t="s">
        <v>263</v>
      </c>
      <c r="B61" s="227"/>
      <c r="C61" s="228"/>
      <c r="D61" s="227"/>
      <c r="E61" s="227"/>
      <c r="F61" s="227"/>
    </row>
    <row r="62" spans="1:18" x14ac:dyDescent="0.25">
      <c r="A62" s="216">
        <f>VLOOKUP(street!$B$174,$A$52:F59,1)</f>
        <v>0</v>
      </c>
      <c r="B62" s="216">
        <f>VLOOKUP(street!$B$174,$A$52:F59,2)</f>
        <v>0.99</v>
      </c>
      <c r="C62" s="216">
        <f>VLOOKUP(street!$B$174,$A$52:F59,3)</f>
        <v>0</v>
      </c>
      <c r="D62" s="216">
        <f>VLOOKUP(street!$B$174,$A$52:F59,4)</f>
        <v>0</v>
      </c>
      <c r="E62" s="216">
        <f>VLOOKUP(street!$B$174,$A$52:F59,5)</f>
        <v>0</v>
      </c>
      <c r="F62" s="216">
        <f>VLOOKUP(street!$B$174,$A$52:F59,6)</f>
        <v>0</v>
      </c>
    </row>
    <row r="63" spans="1:18" x14ac:dyDescent="0.25">
      <c r="A63" s="216"/>
      <c r="B63" s="216"/>
      <c r="C63" s="229"/>
      <c r="D63" s="230"/>
      <c r="E63" s="218"/>
      <c r="F63" s="231"/>
    </row>
    <row r="64" spans="1:18" x14ac:dyDescent="0.25">
      <c r="A64" s="232">
        <f>C62</f>
        <v>0</v>
      </c>
      <c r="B64" s="233" t="s">
        <v>277</v>
      </c>
      <c r="C64" s="229"/>
      <c r="D64" s="230"/>
      <c r="E64" s="218"/>
      <c r="F64" s="231"/>
    </row>
    <row r="65" spans="1:16" x14ac:dyDescent="0.25">
      <c r="A65" s="266">
        <v>1187.8800000000001</v>
      </c>
      <c r="B65" s="233"/>
      <c r="C65" s="229"/>
      <c r="D65" s="230"/>
      <c r="E65" s="218"/>
      <c r="F65" s="231"/>
    </row>
    <row r="66" spans="1:16" x14ac:dyDescent="0.25">
      <c r="A66" s="234"/>
      <c r="B66" s="233"/>
      <c r="C66" s="229"/>
      <c r="D66" s="230"/>
      <c r="E66" s="218"/>
      <c r="F66" s="231"/>
    </row>
    <row r="67" spans="1:16" x14ac:dyDescent="0.25">
      <c r="A67" s="311" t="s">
        <v>249</v>
      </c>
      <c r="B67" s="311"/>
      <c r="C67" s="311"/>
      <c r="D67" s="208">
        <v>292</v>
      </c>
      <c r="E67" s="218"/>
      <c r="F67" s="231"/>
      <c r="M67" s="311" t="s">
        <v>249</v>
      </c>
      <c r="N67" s="311"/>
      <c r="O67" s="311"/>
      <c r="P67" s="200">
        <v>254</v>
      </c>
    </row>
    <row r="68" spans="1:16" x14ac:dyDescent="0.25">
      <c r="A68" s="310" t="s">
        <v>250</v>
      </c>
      <c r="B68" s="310"/>
      <c r="C68" s="310"/>
      <c r="D68" s="208">
        <v>57</v>
      </c>
      <c r="E68" s="227"/>
      <c r="F68" s="227"/>
      <c r="M68" s="310" t="s">
        <v>250</v>
      </c>
      <c r="N68" s="310"/>
      <c r="O68" s="310"/>
      <c r="P68" s="200">
        <v>49</v>
      </c>
    </row>
    <row r="69" spans="1:16" ht="25.5" customHeight="1" x14ac:dyDescent="0.25"/>
    <row r="72" spans="1:16" x14ac:dyDescent="0.25">
      <c r="A72">
        <v>198.5</v>
      </c>
      <c r="B72" t="s">
        <v>295</v>
      </c>
    </row>
  </sheetData>
  <sheetProtection algorithmName="SHA-512" hashValue="FDC3wqcRNbTc1x+pvKf5mz3t3jJfYpnxksdYRbPbJNE3h8Q/xep7EzUFWjzBgahaXEYs4RXFe1lftfoji8TXiw==" saltValue="aWyawcq7Ar6v1hIdsGQShg==" spinCount="100000" sheet="1" objects="1" scenarios="1"/>
  <mergeCells count="10">
    <mergeCell ref="A68:C68"/>
    <mergeCell ref="M67:O67"/>
    <mergeCell ref="M68:O68"/>
    <mergeCell ref="A67:C67"/>
    <mergeCell ref="A4:F4"/>
    <mergeCell ref="A24:F24"/>
    <mergeCell ref="A50:F50"/>
    <mergeCell ref="M4:R4"/>
    <mergeCell ref="M24:R24"/>
    <mergeCell ref="M50:R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street</vt:lpstr>
      <vt:lpstr>tables</vt:lpstr>
      <vt:lpstr>street!Print_Area</vt:lpstr>
    </vt:vector>
  </TitlesOfParts>
  <Company>City of Santa Clarita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Breyer</dc:creator>
  <cp:lastModifiedBy>Ronil Santa Ana</cp:lastModifiedBy>
  <cp:lastPrinted>2025-08-21T22:51:13Z</cp:lastPrinted>
  <dcterms:created xsi:type="dcterms:W3CDTF">2014-06-16T22:03:14Z</dcterms:created>
  <dcterms:modified xsi:type="dcterms:W3CDTF">2026-08-27T16:32:48Z</dcterms:modified>
</cp:coreProperties>
</file>